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aac\Documents\Deliverables\Aquifer Testing\sourceFiles\"/>
    </mc:Choice>
  </mc:AlternateContent>
  <bookViews>
    <workbookView xWindow="0" yWindow="0" windowWidth="19200" windowHeight="13476" tabRatio="775" firstSheet="6" activeTab="12"/>
  </bookViews>
  <sheets>
    <sheet name="Table1_DTWGWE" sheetId="22" r:id="rId1"/>
    <sheet name="2_WellDischarge" sheetId="28" r:id="rId2"/>
    <sheet name="3_ATsummary" sheetId="16" r:id="rId3"/>
    <sheet name="4_FCD-1" sheetId="24" r:id="rId4"/>
    <sheet name="5_FCD-2" sheetId="25" r:id="rId5"/>
    <sheet name="6_FCD-2A" sheetId="29" r:id="rId6"/>
    <sheet name="7_Seeps" sheetId="26" r:id="rId7"/>
    <sheet name="8_OtherQ" sheetId="27" r:id="rId8"/>
    <sheet name="Table5-2" sheetId="3" state="hidden" r:id="rId9"/>
    <sheet name="9_FieldParam" sheetId="33" r:id="rId10"/>
    <sheet name="10_Chemistry" sheetId="34" r:id="rId11"/>
    <sheet name="11_Model" sheetId="23" r:id="rId12"/>
    <sheet name="12_dischargeSummary" sheetId="30" r:id="rId13"/>
    <sheet name="List" sheetId="19" r:id="rId14"/>
    <sheet name="Misc" sheetId="32" r:id="rId15"/>
    <sheet name="RawWQdata" sheetId="35" r:id="rId16"/>
    <sheet name="construct" sheetId="20" r:id="rId17"/>
    <sheet name="DischargeChart" sheetId="31" r:id="rId18"/>
  </sheets>
  <definedNames>
    <definedName name="_xlnm.Print_Area" localSheetId="10">'10_Chemistry'!$A$1:$F$89</definedName>
    <definedName name="_xlnm.Print_Area" localSheetId="12">'12_dischargeSummary'!$A$1:$M$18</definedName>
    <definedName name="_xlnm.Print_Area" localSheetId="1">'2_WellDischarge'!$A$1:$H$78</definedName>
    <definedName name="_xlnm.Print_Area" localSheetId="2">'3_ATsummary'!$A$1:$K$36</definedName>
    <definedName name="_xlnm.Print_Area" localSheetId="3">'4_FCD-1'!$A$1:$I$82</definedName>
    <definedName name="_xlnm.Print_Area" localSheetId="4">'5_FCD-2'!$A$1:$I$58</definedName>
    <definedName name="_xlnm.Print_Area" localSheetId="5">'6_FCD-2A'!$A$1:$I$58</definedName>
    <definedName name="_xlnm.Print_Area" localSheetId="6">'7_Seeps'!$A$1:$G$52</definedName>
    <definedName name="_xlnm.Print_Area" localSheetId="7">'8_OtherQ'!$A$1:$I$69</definedName>
    <definedName name="_xlnm.Print_Area" localSheetId="0">Table1_DTWGWE!$A$1:$I$95</definedName>
    <definedName name="_xlnm.Print_Titles" localSheetId="10">'10_Chemistry'!$1:$6</definedName>
    <definedName name="_xlnm.Print_Titles" localSheetId="11">'11_Model'!$1:$3</definedName>
    <definedName name="_xlnm.Print_Titles" localSheetId="1">'2_WellDischarge'!$1:$5</definedName>
    <definedName name="_xlnm.Print_Titles" localSheetId="3">'4_FCD-1'!$1:$4</definedName>
    <definedName name="_xlnm.Print_Titles" localSheetId="4">'5_FCD-2'!$1:$4</definedName>
    <definedName name="_xlnm.Print_Titles" localSheetId="5">'6_FCD-2A'!$1:$5</definedName>
    <definedName name="_xlnm.Print_Titles" localSheetId="6">'7_Seeps'!$1:$4</definedName>
    <definedName name="_xlnm.Print_Titles" localSheetId="7">'8_OtherQ'!$1:$2</definedName>
    <definedName name="_xlnm.Print_Titles" localSheetId="0">Table1_DTWGWE!$1:$3</definedName>
    <definedName name="_xlnm.Print_Titles" localSheetId="8">'Table5-2'!$1:$6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34" l="1"/>
  <c r="G60" i="34"/>
  <c r="G59" i="34"/>
  <c r="G58" i="34"/>
  <c r="G57" i="34"/>
  <c r="G56" i="34"/>
  <c r="G55" i="34"/>
  <c r="G54" i="34"/>
  <c r="G53" i="34"/>
  <c r="G52" i="34"/>
  <c r="G51" i="34"/>
  <c r="G50" i="34"/>
  <c r="G49" i="34"/>
  <c r="G48" i="34"/>
  <c r="G47" i="34"/>
  <c r="G46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3" i="34"/>
  <c r="G32" i="34"/>
  <c r="G31" i="34"/>
  <c r="G30" i="34"/>
  <c r="G29" i="34"/>
  <c r="G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G11" i="34"/>
  <c r="G10" i="34"/>
  <c r="G9" i="34"/>
  <c r="G8" i="34"/>
  <c r="G7" i="34"/>
  <c r="G6" i="34"/>
  <c r="G62" i="34"/>
  <c r="J62" i="34"/>
  <c r="B6" i="16" l="1"/>
  <c r="B14" i="16"/>
  <c r="I48" i="34" l="1"/>
  <c r="I39" i="34"/>
  <c r="I40" i="34"/>
  <c r="J45" i="34"/>
  <c r="H45" i="34"/>
  <c r="J9" i="34"/>
  <c r="J10" i="34"/>
  <c r="J11" i="34"/>
  <c r="J12" i="34"/>
  <c r="J13" i="34"/>
  <c r="J14" i="34"/>
  <c r="J15" i="34"/>
  <c r="J16" i="34"/>
  <c r="J17" i="34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J34" i="34"/>
  <c r="J35" i="34"/>
  <c r="J36" i="34"/>
  <c r="J37" i="34"/>
  <c r="J38" i="34"/>
  <c r="J39" i="34"/>
  <c r="J40" i="34"/>
  <c r="J41" i="34"/>
  <c r="J42" i="34"/>
  <c r="J43" i="34"/>
  <c r="J44" i="34"/>
  <c r="J46" i="34"/>
  <c r="J47" i="34"/>
  <c r="J48" i="34"/>
  <c r="J49" i="34"/>
  <c r="J50" i="34"/>
  <c r="J51" i="34"/>
  <c r="J52" i="34"/>
  <c r="J53" i="34"/>
  <c r="J54" i="34"/>
  <c r="J55" i="34"/>
  <c r="J56" i="34"/>
  <c r="J57" i="34"/>
  <c r="J58" i="34"/>
  <c r="J59" i="34"/>
  <c r="J60" i="34"/>
  <c r="J61" i="34"/>
  <c r="J8" i="34"/>
  <c r="I8" i="34"/>
  <c r="H8" i="34"/>
  <c r="H9" i="34"/>
  <c r="I9" i="34"/>
  <c r="H10" i="34"/>
  <c r="I10" i="34"/>
  <c r="H11" i="34"/>
  <c r="I11" i="34"/>
  <c r="H12" i="34"/>
  <c r="I12" i="34"/>
  <c r="H13" i="34"/>
  <c r="I13" i="34"/>
  <c r="H14" i="34"/>
  <c r="I14" i="34"/>
  <c r="H15" i="34"/>
  <c r="I15" i="34"/>
  <c r="H16" i="34"/>
  <c r="I16" i="34"/>
  <c r="H17" i="34"/>
  <c r="I17" i="34"/>
  <c r="H18" i="34"/>
  <c r="I18" i="34"/>
  <c r="H19" i="34"/>
  <c r="I19" i="34"/>
  <c r="H20" i="34"/>
  <c r="I20" i="34"/>
  <c r="H21" i="34"/>
  <c r="I21" i="34"/>
  <c r="H22" i="34"/>
  <c r="I22" i="34"/>
  <c r="H23" i="34"/>
  <c r="I23" i="34"/>
  <c r="H24" i="34"/>
  <c r="I24" i="34"/>
  <c r="H25" i="34"/>
  <c r="I25" i="34"/>
  <c r="H26" i="34"/>
  <c r="I26" i="34"/>
  <c r="H27" i="34"/>
  <c r="I27" i="34"/>
  <c r="H28" i="34"/>
  <c r="I28" i="34"/>
  <c r="H29" i="34"/>
  <c r="I29" i="34"/>
  <c r="H30" i="34"/>
  <c r="I30" i="34"/>
  <c r="H31" i="34"/>
  <c r="I31" i="34"/>
  <c r="H32" i="34"/>
  <c r="I32" i="34"/>
  <c r="H33" i="34"/>
  <c r="I33" i="34"/>
  <c r="H34" i="34"/>
  <c r="I34" i="34"/>
  <c r="H35" i="34"/>
  <c r="I35" i="34"/>
  <c r="H36" i="34"/>
  <c r="I36" i="34"/>
  <c r="H37" i="34"/>
  <c r="I37" i="34"/>
  <c r="H38" i="34"/>
  <c r="I38" i="34"/>
  <c r="H39" i="34"/>
  <c r="H40" i="34"/>
  <c r="H41" i="34"/>
  <c r="I41" i="34"/>
  <c r="H42" i="34"/>
  <c r="I42" i="34"/>
  <c r="H43" i="34"/>
  <c r="I43" i="34"/>
  <c r="H44" i="34"/>
  <c r="I44" i="34"/>
  <c r="I45" i="34"/>
  <c r="H46" i="34"/>
  <c r="I46" i="34"/>
  <c r="H47" i="34"/>
  <c r="I47" i="34"/>
  <c r="H48" i="34"/>
  <c r="H49" i="34"/>
  <c r="I49" i="34"/>
  <c r="H50" i="34"/>
  <c r="I50" i="34"/>
  <c r="H51" i="34"/>
  <c r="I51" i="34"/>
  <c r="H52" i="34"/>
  <c r="I52" i="34"/>
  <c r="H53" i="34"/>
  <c r="I53" i="34"/>
  <c r="H54" i="34"/>
  <c r="I54" i="34"/>
  <c r="H55" i="34"/>
  <c r="I55" i="34"/>
  <c r="H56" i="34"/>
  <c r="I56" i="34"/>
  <c r="H57" i="34"/>
  <c r="I57" i="34"/>
  <c r="H58" i="34"/>
  <c r="I58" i="34"/>
  <c r="H59" i="34"/>
  <c r="I59" i="34"/>
  <c r="H60" i="34"/>
  <c r="I60" i="34"/>
  <c r="H61" i="34"/>
  <c r="I61" i="34"/>
  <c r="H62" i="34"/>
  <c r="I62" i="34"/>
  <c r="K30" i="34"/>
  <c r="K31" i="34"/>
  <c r="K32" i="34"/>
  <c r="K33" i="34"/>
  <c r="K34" i="34"/>
  <c r="K35" i="34"/>
  <c r="K36" i="34"/>
  <c r="K37" i="34"/>
  <c r="K38" i="34"/>
  <c r="K39" i="34"/>
  <c r="K40" i="34"/>
  <c r="K41" i="34"/>
  <c r="K42" i="34"/>
  <c r="K43" i="34"/>
  <c r="K44" i="34"/>
  <c r="K45" i="34"/>
  <c r="K46" i="34"/>
  <c r="K47" i="34"/>
  <c r="K48" i="34"/>
  <c r="K49" i="34"/>
  <c r="K50" i="34"/>
  <c r="K51" i="34"/>
  <c r="K52" i="34"/>
  <c r="K53" i="34"/>
  <c r="K54" i="34"/>
  <c r="K55" i="34"/>
  <c r="K56" i="34"/>
  <c r="K57" i="34"/>
  <c r="K58" i="34"/>
  <c r="K59" i="34"/>
  <c r="K60" i="34"/>
  <c r="K61" i="34"/>
  <c r="K62" i="34"/>
  <c r="K29" i="34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N30" i="34" l="1"/>
  <c r="L29" i="34"/>
  <c r="L30" i="34"/>
  <c r="M33" i="34"/>
  <c r="N59" i="34"/>
  <c r="L55" i="34"/>
  <c r="N51" i="34"/>
  <c r="L47" i="34"/>
  <c r="L43" i="34"/>
  <c r="L39" i="34"/>
  <c r="L35" i="34"/>
  <c r="L31" i="34"/>
  <c r="M14" i="34"/>
  <c r="N24" i="34"/>
  <c r="L22" i="34"/>
  <c r="M19" i="34"/>
  <c r="N16" i="34"/>
  <c r="M15" i="34"/>
  <c r="N12" i="34"/>
  <c r="L10" i="34"/>
  <c r="M27" i="34"/>
  <c r="L62" i="34"/>
  <c r="L58" i="34"/>
  <c r="L54" i="34"/>
  <c r="L50" i="34"/>
  <c r="L46" i="34"/>
  <c r="L42" i="34"/>
  <c r="L38" i="34"/>
  <c r="L34" i="34"/>
  <c r="M31" i="34"/>
  <c r="N14" i="34"/>
  <c r="M24" i="34"/>
  <c r="N21" i="34"/>
  <c r="L19" i="34"/>
  <c r="M16" i="34"/>
  <c r="N13" i="34"/>
  <c r="L11" i="34"/>
  <c r="M28" i="34"/>
  <c r="N29" i="34"/>
  <c r="M61" i="34"/>
  <c r="L59" i="34"/>
  <c r="M53" i="34"/>
  <c r="L51" i="34"/>
  <c r="M45" i="34"/>
  <c r="M37" i="34"/>
  <c r="L14" i="34"/>
  <c r="M26" i="34"/>
  <c r="L25" i="34"/>
  <c r="N23" i="34"/>
  <c r="M22" i="34"/>
  <c r="L21" i="34"/>
  <c r="N19" i="34"/>
  <c r="M18" i="34"/>
  <c r="L17" i="34"/>
  <c r="N15" i="34"/>
  <c r="M9" i="34"/>
  <c r="L13" i="34"/>
  <c r="N11" i="34"/>
  <c r="M10" i="34"/>
  <c r="L8" i="34"/>
  <c r="N27" i="34"/>
  <c r="M62" i="34"/>
  <c r="M58" i="34"/>
  <c r="N55" i="34"/>
  <c r="M54" i="34"/>
  <c r="M50" i="34"/>
  <c r="N47" i="34"/>
  <c r="M46" i="34"/>
  <c r="N43" i="34"/>
  <c r="M42" i="34"/>
  <c r="N39" i="34"/>
  <c r="M38" i="34"/>
  <c r="N35" i="34"/>
  <c r="M34" i="34"/>
  <c r="N31" i="34"/>
  <c r="M30" i="34"/>
  <c r="M60" i="34"/>
  <c r="M56" i="34"/>
  <c r="M52" i="34"/>
  <c r="M48" i="34"/>
  <c r="M44" i="34"/>
  <c r="M40" i="34"/>
  <c r="M36" i="34"/>
  <c r="M32" i="34"/>
  <c r="L26" i="34"/>
  <c r="M23" i="34"/>
  <c r="N20" i="34"/>
  <c r="L18" i="34"/>
  <c r="N9" i="34"/>
  <c r="M11" i="34"/>
  <c r="N28" i="34"/>
  <c r="M29" i="34"/>
  <c r="M59" i="34"/>
  <c r="M55" i="34"/>
  <c r="M51" i="34"/>
  <c r="M47" i="34"/>
  <c r="M43" i="34"/>
  <c r="M39" i="34"/>
  <c r="M35" i="34"/>
  <c r="N25" i="34"/>
  <c r="L23" i="34"/>
  <c r="M20" i="34"/>
  <c r="N17" i="34"/>
  <c r="L15" i="34"/>
  <c r="M12" i="34"/>
  <c r="N8" i="34"/>
  <c r="L27" i="34"/>
  <c r="M57" i="34"/>
  <c r="M49" i="34"/>
  <c r="M41" i="34"/>
  <c r="N26" i="34"/>
  <c r="M25" i="34"/>
  <c r="L24" i="34"/>
  <c r="N22" i="34"/>
  <c r="M21" i="34"/>
  <c r="L20" i="34"/>
  <c r="N18" i="34"/>
  <c r="M17" i="34"/>
  <c r="L16" i="34"/>
  <c r="L9" i="34"/>
  <c r="M13" i="34"/>
  <c r="L12" i="34"/>
  <c r="N10" i="34"/>
  <c r="M8" i="34"/>
  <c r="L28" i="34"/>
  <c r="N62" i="34"/>
  <c r="L60" i="34"/>
  <c r="N58" i="34"/>
  <c r="L56" i="34"/>
  <c r="N54" i="34"/>
  <c r="L52" i="34"/>
  <c r="N50" i="34"/>
  <c r="L48" i="34"/>
  <c r="N46" i="34"/>
  <c r="L44" i="34"/>
  <c r="N42" i="34"/>
  <c r="L40" i="34"/>
  <c r="N38" i="34"/>
  <c r="L36" i="34"/>
  <c r="N34" i="34"/>
  <c r="L32" i="34"/>
  <c r="N61" i="34"/>
  <c r="N57" i="34"/>
  <c r="N53" i="34"/>
  <c r="N49" i="34"/>
  <c r="N45" i="34"/>
  <c r="N41" i="34"/>
  <c r="N37" i="34"/>
  <c r="N33" i="34"/>
  <c r="L61" i="34"/>
  <c r="N60" i="34"/>
  <c r="N56" i="34"/>
  <c r="N52" i="34"/>
  <c r="N40" i="34"/>
  <c r="N36" i="34"/>
  <c r="N32" i="34"/>
  <c r="L57" i="34"/>
  <c r="L53" i="34"/>
  <c r="L49" i="34"/>
  <c r="L45" i="34"/>
  <c r="L41" i="34"/>
  <c r="L37" i="34"/>
  <c r="L33" i="34"/>
  <c r="N48" i="34"/>
  <c r="N44" i="34"/>
  <c r="I7" i="32" l="1"/>
  <c r="G11" i="32" s="1"/>
  <c r="G13" i="32" s="1"/>
  <c r="G14" i="32" s="1"/>
  <c r="D7" i="32"/>
  <c r="B11" i="32" s="1"/>
  <c r="B13" i="32" s="1"/>
  <c r="B14" i="32" s="1"/>
  <c r="L68" i="22"/>
  <c r="L69" i="22"/>
  <c r="L70" i="22"/>
  <c r="L71" i="22"/>
  <c r="L72" i="22"/>
  <c r="L73" i="22"/>
  <c r="L74" i="22"/>
  <c r="L75" i="22"/>
  <c r="L76" i="22"/>
  <c r="L77" i="22"/>
  <c r="L78" i="22"/>
  <c r="L79" i="22"/>
  <c r="L80" i="22"/>
  <c r="L81" i="22"/>
  <c r="L82" i="22"/>
  <c r="L83" i="22"/>
  <c r="L84" i="22"/>
  <c r="L85" i="22"/>
  <c r="L86" i="22"/>
  <c r="L87" i="22"/>
  <c r="L88" i="22"/>
  <c r="L89" i="22"/>
  <c r="L90" i="22"/>
  <c r="L91" i="22"/>
  <c r="L92" i="22"/>
  <c r="L67" i="22"/>
  <c r="I35" i="30"/>
  <c r="I6" i="30"/>
  <c r="J6" i="30" s="1"/>
  <c r="I7" i="30"/>
  <c r="J7" i="30" s="1"/>
  <c r="I5" i="30"/>
  <c r="J5" i="30" s="1"/>
  <c r="F5" i="30"/>
  <c r="G5" i="30" s="1"/>
  <c r="H5" i="30" s="1"/>
  <c r="E6" i="30"/>
  <c r="E7" i="30"/>
  <c r="K30" i="30" s="1"/>
  <c r="F7" i="30"/>
  <c r="G7" i="30" s="1"/>
  <c r="H7" i="30" s="1"/>
  <c r="F6" i="30"/>
  <c r="G6" i="30" s="1"/>
  <c r="H6" i="30" s="1"/>
  <c r="E5" i="30"/>
  <c r="K5" i="30" l="1"/>
  <c r="L5" i="30"/>
  <c r="O5" i="30" s="1"/>
  <c r="K7" i="30"/>
  <c r="L7" i="30" s="1"/>
  <c r="O7" i="30" s="1"/>
  <c r="K6" i="30"/>
  <c r="L6" i="30" s="1"/>
  <c r="O6" i="30" s="1"/>
  <c r="M5" i="30" l="1"/>
  <c r="M7" i="30"/>
  <c r="M6" i="30"/>
  <c r="D52" i="29" l="1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B33" i="29"/>
  <c r="B34" i="29" s="1"/>
  <c r="D32" i="29"/>
  <c r="D31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B8" i="29"/>
  <c r="B9" i="29" s="1"/>
  <c r="B10" i="29" s="1"/>
  <c r="B11" i="29" s="1"/>
  <c r="B12" i="29" s="1"/>
  <c r="B13" i="29" s="1"/>
  <c r="B14" i="29" s="1"/>
  <c r="B15" i="29" s="1"/>
  <c r="B16" i="29" s="1"/>
  <c r="B17" i="29" s="1"/>
  <c r="B18" i="29" s="1"/>
  <c r="B19" i="29" s="1"/>
  <c r="B20" i="29" s="1"/>
  <c r="B21" i="29" s="1"/>
  <c r="B22" i="29" s="1"/>
  <c r="B23" i="29" s="1"/>
  <c r="B24" i="29" s="1"/>
  <c r="B25" i="29" s="1"/>
  <c r="B26" i="29" s="1"/>
  <c r="D7" i="29"/>
  <c r="D6" i="29"/>
  <c r="F6" i="29" s="1"/>
  <c r="F31" i="29" l="1"/>
  <c r="G31" i="29" s="1"/>
  <c r="B35" i="29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F33" i="29"/>
  <c r="G33" i="29" s="1"/>
  <c r="H33" i="29" s="1"/>
  <c r="F32" i="29"/>
  <c r="G32" i="29" s="1"/>
  <c r="H32" i="29" s="1"/>
  <c r="G6" i="29"/>
  <c r="F7" i="29"/>
  <c r="G7" i="29" s="1"/>
  <c r="H7" i="29" s="1"/>
  <c r="F8" i="29"/>
  <c r="G8" i="29" s="1"/>
  <c r="H8" i="29" s="1"/>
  <c r="H31" i="29"/>
  <c r="F34" i="29" l="1"/>
  <c r="G34" i="29" s="1"/>
  <c r="H34" i="29" s="1"/>
  <c r="H6" i="29"/>
  <c r="F35" i="29"/>
  <c r="G35" i="29" l="1"/>
  <c r="F37" i="29"/>
  <c r="G37" i="29" s="1"/>
  <c r="H37" i="29" s="1"/>
  <c r="F9" i="29"/>
  <c r="F36" i="29"/>
  <c r="G36" i="29" s="1"/>
  <c r="H36" i="29" s="1"/>
  <c r="F11" i="29" l="1"/>
  <c r="G11" i="29" s="1"/>
  <c r="H11" i="29" s="1"/>
  <c r="G9" i="29"/>
  <c r="F38" i="29"/>
  <c r="G38" i="29" s="1"/>
  <c r="H38" i="29" s="1"/>
  <c r="F10" i="29"/>
  <c r="G10" i="29" s="1"/>
  <c r="H10" i="29" s="1"/>
  <c r="H35" i="29"/>
  <c r="H9" i="29" l="1"/>
  <c r="F39" i="29"/>
  <c r="G39" i="29" s="1"/>
  <c r="H39" i="29" s="1"/>
  <c r="F13" i="29" l="1"/>
  <c r="G13" i="29" s="1"/>
  <c r="H13" i="29" s="1"/>
  <c r="F12" i="29"/>
  <c r="G12" i="29" l="1"/>
  <c r="F14" i="29"/>
  <c r="G14" i="29" s="1"/>
  <c r="H14" i="29" s="1"/>
  <c r="F40" i="29"/>
  <c r="G40" i="29" s="1"/>
  <c r="H40" i="29" s="1"/>
  <c r="F42" i="29" l="1"/>
  <c r="G42" i="29" s="1"/>
  <c r="H42" i="29" s="1"/>
  <c r="F41" i="29"/>
  <c r="G41" i="29" s="1"/>
  <c r="H41" i="29" s="1"/>
  <c r="F15" i="29"/>
  <c r="G15" i="29" s="1"/>
  <c r="H15" i="29" s="1"/>
  <c r="H12" i="29"/>
  <c r="F16" i="29" l="1"/>
  <c r="G16" i="29" s="1"/>
  <c r="F43" i="29"/>
  <c r="G43" i="29" s="1"/>
  <c r="H43" i="29" s="1"/>
  <c r="H16" i="29" l="1"/>
  <c r="F17" i="29"/>
  <c r="G17" i="29" s="1"/>
  <c r="H17" i="29" s="1"/>
  <c r="F18" i="29" l="1"/>
  <c r="G18" i="29" s="1"/>
  <c r="H18" i="29" s="1"/>
  <c r="F45" i="29"/>
  <c r="G45" i="29" s="1"/>
  <c r="H45" i="29" s="1"/>
  <c r="F44" i="29"/>
  <c r="G44" i="29" s="1"/>
  <c r="H44" i="29" s="1"/>
  <c r="F19" i="29" l="1"/>
  <c r="G19" i="29" s="1"/>
  <c r="H19" i="29" s="1"/>
  <c r="F20" i="29" l="1"/>
  <c r="G20" i="29" s="1"/>
  <c r="H20" i="29" s="1"/>
  <c r="F46" i="29"/>
  <c r="G46" i="29" s="1"/>
  <c r="H46" i="29" s="1"/>
  <c r="F48" i="29" l="1"/>
  <c r="G48" i="29" s="1"/>
  <c r="H48" i="29" s="1"/>
  <c r="F47" i="29"/>
  <c r="G47" i="29" s="1"/>
  <c r="H47" i="29" s="1"/>
  <c r="F49" i="29" l="1"/>
  <c r="G49" i="29" s="1"/>
  <c r="H49" i="29" s="1"/>
  <c r="F22" i="29"/>
  <c r="G22" i="29" s="1"/>
  <c r="H22" i="29" s="1"/>
  <c r="F21" i="29"/>
  <c r="G21" i="29" s="1"/>
  <c r="H21" i="29" s="1"/>
  <c r="F23" i="29" l="1"/>
  <c r="G23" i="29" s="1"/>
  <c r="H23" i="29" s="1"/>
  <c r="F50" i="29"/>
  <c r="G50" i="29" s="1"/>
  <c r="H50" i="29" s="1"/>
  <c r="F52" i="29" l="1"/>
  <c r="G52" i="29" s="1"/>
  <c r="H52" i="29" s="1"/>
  <c r="F51" i="29"/>
  <c r="F24" i="29"/>
  <c r="G24" i="29" s="1"/>
  <c r="H24" i="29" s="1"/>
  <c r="G51" i="29" l="1"/>
  <c r="F53" i="29"/>
  <c r="F26" i="29" l="1"/>
  <c r="F27" i="29"/>
  <c r="G27" i="29" s="1"/>
  <c r="H27" i="29" s="1"/>
  <c r="H51" i="29"/>
  <c r="H53" i="29" s="1"/>
  <c r="G53" i="29"/>
  <c r="F25" i="29"/>
  <c r="G25" i="29" s="1"/>
  <c r="H25" i="29" s="1"/>
  <c r="G26" i="29" l="1"/>
  <c r="F28" i="29"/>
  <c r="H26" i="29" l="1"/>
  <c r="H28" i="29" s="1"/>
  <c r="P43" i="29" s="1"/>
  <c r="G28" i="29"/>
  <c r="P40" i="29" l="1"/>
  <c r="P41" i="29" s="1"/>
  <c r="P42" i="29" s="1"/>
  <c r="P39" i="29"/>
  <c r="Q43" i="29" l="1"/>
  <c r="Q41" i="29"/>
  <c r="Q42" i="29"/>
  <c r="H53" i="27" l="1"/>
  <c r="G53" i="27"/>
  <c r="I48" i="27"/>
  <c r="I49" i="27"/>
  <c r="I50" i="27"/>
  <c r="I51" i="27"/>
  <c r="I52" i="27"/>
  <c r="C52" i="27"/>
  <c r="B52" i="27"/>
  <c r="D51" i="27"/>
  <c r="D50" i="27"/>
  <c r="D49" i="27"/>
  <c r="D48" i="27"/>
  <c r="B24" i="16"/>
  <c r="B23" i="16"/>
  <c r="F7" i="28"/>
  <c r="F18" i="28"/>
  <c r="D52" i="27" l="1"/>
  <c r="I53" i="27"/>
  <c r="L48" i="27"/>
  <c r="F75" i="28"/>
  <c r="G75" i="28" s="1"/>
  <c r="F74" i="28"/>
  <c r="G74" i="28" s="1"/>
  <c r="F73" i="28"/>
  <c r="G73" i="28" s="1"/>
  <c r="F72" i="28"/>
  <c r="G72" i="28" s="1"/>
  <c r="J72" i="28" s="1"/>
  <c r="F71" i="28"/>
  <c r="G71" i="28" s="1"/>
  <c r="F70" i="28"/>
  <c r="G70" i="28" s="1"/>
  <c r="F69" i="28"/>
  <c r="G69" i="28" s="1"/>
  <c r="F68" i="28"/>
  <c r="G68" i="28" s="1"/>
  <c r="J68" i="28" s="1"/>
  <c r="F67" i="28"/>
  <c r="G67" i="28" s="1"/>
  <c r="K66" i="28"/>
  <c r="F65" i="28"/>
  <c r="G65" i="28" s="1"/>
  <c r="F64" i="28"/>
  <c r="G64" i="28" s="1"/>
  <c r="F63" i="28"/>
  <c r="G63" i="28" s="1"/>
  <c r="J63" i="28" s="1"/>
  <c r="F62" i="28"/>
  <c r="G62" i="28" s="1"/>
  <c r="F61" i="28"/>
  <c r="G61" i="28" s="1"/>
  <c r="F60" i="28"/>
  <c r="G60" i="28" s="1"/>
  <c r="F59" i="28"/>
  <c r="G59" i="28" s="1"/>
  <c r="J59" i="28" s="1"/>
  <c r="F58" i="28"/>
  <c r="G58" i="28" s="1"/>
  <c r="F57" i="28"/>
  <c r="G57" i="28" s="1"/>
  <c r="F56" i="28"/>
  <c r="G56" i="28" s="1"/>
  <c r="F55" i="28"/>
  <c r="G55" i="28" s="1"/>
  <c r="J55" i="28" s="1"/>
  <c r="F54" i="28"/>
  <c r="G54" i="28" s="1"/>
  <c r="K54" i="28" s="1"/>
  <c r="F53" i="28"/>
  <c r="G53" i="28" s="1"/>
  <c r="K52" i="28"/>
  <c r="F51" i="28"/>
  <c r="G51" i="28" s="1"/>
  <c r="J51" i="28" s="1"/>
  <c r="F50" i="28"/>
  <c r="G50" i="28" s="1"/>
  <c r="F49" i="28"/>
  <c r="G49" i="28" s="1"/>
  <c r="J49" i="28" s="1"/>
  <c r="F48" i="28"/>
  <c r="G48" i="28" s="1"/>
  <c r="F47" i="28"/>
  <c r="G47" i="28" s="1"/>
  <c r="J47" i="28" s="1"/>
  <c r="F46" i="28"/>
  <c r="G46" i="28" s="1"/>
  <c r="F45" i="28"/>
  <c r="G45" i="28" s="1"/>
  <c r="J45" i="28" s="1"/>
  <c r="F44" i="28"/>
  <c r="G44" i="28" s="1"/>
  <c r="F43" i="28"/>
  <c r="G43" i="28" s="1"/>
  <c r="J43" i="28" s="1"/>
  <c r="F42" i="28"/>
  <c r="G42" i="28" s="1"/>
  <c r="F41" i="28"/>
  <c r="G41" i="28" s="1"/>
  <c r="J41" i="28" s="1"/>
  <c r="F40" i="28"/>
  <c r="G40" i="28" s="1"/>
  <c r="F39" i="28"/>
  <c r="G39" i="28" s="1"/>
  <c r="K38" i="28"/>
  <c r="F37" i="28"/>
  <c r="G37" i="28" s="1"/>
  <c r="K36" i="28"/>
  <c r="F35" i="28"/>
  <c r="G35" i="28" s="1"/>
  <c r="J35" i="28" s="1"/>
  <c r="F34" i="28"/>
  <c r="G34" i="28" s="1"/>
  <c r="F33" i="28"/>
  <c r="G33" i="28" s="1"/>
  <c r="F32" i="28"/>
  <c r="G32" i="28" s="1"/>
  <c r="J32" i="28" s="1"/>
  <c r="F31" i="28"/>
  <c r="G31" i="28" s="1"/>
  <c r="F30" i="28"/>
  <c r="G30" i="28" s="1"/>
  <c r="K30" i="28" s="1"/>
  <c r="F29" i="28"/>
  <c r="G29" i="28" s="1"/>
  <c r="F28" i="28"/>
  <c r="G28" i="28" s="1"/>
  <c r="F27" i="28"/>
  <c r="G27" i="28" s="1"/>
  <c r="K26" i="28"/>
  <c r="F25" i="28"/>
  <c r="G25" i="28" s="1"/>
  <c r="F24" i="28"/>
  <c r="G24" i="28" s="1"/>
  <c r="K23" i="28"/>
  <c r="F22" i="28"/>
  <c r="G22" i="28" s="1"/>
  <c r="J22" i="28" s="1"/>
  <c r="F21" i="28"/>
  <c r="G21" i="28" s="1"/>
  <c r="F20" i="28"/>
  <c r="G20" i="28" s="1"/>
  <c r="F19" i="28"/>
  <c r="G19" i="28" s="1"/>
  <c r="G18" i="28"/>
  <c r="J18" i="28" s="1"/>
  <c r="F17" i="28"/>
  <c r="G17" i="28" s="1"/>
  <c r="F15" i="28"/>
  <c r="G15" i="28" s="1"/>
  <c r="J15" i="28" s="1"/>
  <c r="F14" i="28"/>
  <c r="G14" i="28" s="1"/>
  <c r="F13" i="28"/>
  <c r="G13" i="28" s="1"/>
  <c r="F12" i="28"/>
  <c r="G12" i="28" s="1"/>
  <c r="F11" i="28"/>
  <c r="G11" i="28" s="1"/>
  <c r="J11" i="28" s="1"/>
  <c r="F10" i="28"/>
  <c r="G10" i="28" s="1"/>
  <c r="F9" i="28"/>
  <c r="G9" i="28" s="1"/>
  <c r="J9" i="28" s="1"/>
  <c r="F8" i="28"/>
  <c r="G8" i="28" s="1"/>
  <c r="G7" i="28"/>
  <c r="J7" i="28" s="1"/>
  <c r="F40" i="27"/>
  <c r="G40" i="27" s="1"/>
  <c r="H40" i="27" s="1"/>
  <c r="E44" i="27"/>
  <c r="F43" i="27"/>
  <c r="G43" i="27" s="1"/>
  <c r="H43" i="27" s="1"/>
  <c r="F42" i="27"/>
  <c r="G42" i="27" s="1"/>
  <c r="H42" i="27" s="1"/>
  <c r="F41" i="27"/>
  <c r="G41" i="27" s="1"/>
  <c r="H41" i="27" s="1"/>
  <c r="D35" i="27"/>
  <c r="D34" i="27"/>
  <c r="F34" i="27" s="1"/>
  <c r="G34" i="27" s="1"/>
  <c r="H34" i="27" s="1"/>
  <c r="D33" i="27"/>
  <c r="F33" i="27" s="1"/>
  <c r="G33" i="27" s="1"/>
  <c r="H33" i="27" s="1"/>
  <c r="D32" i="27"/>
  <c r="F32" i="27" s="1"/>
  <c r="G32" i="27" s="1"/>
  <c r="H32" i="27" s="1"/>
  <c r="D31" i="27"/>
  <c r="F31" i="27" s="1"/>
  <c r="G31" i="27" s="1"/>
  <c r="H31" i="27" s="1"/>
  <c r="D30" i="27"/>
  <c r="F30" i="27" s="1"/>
  <c r="G30" i="27" s="1"/>
  <c r="H30" i="27" s="1"/>
  <c r="D29" i="27"/>
  <c r="F29" i="27" s="1"/>
  <c r="G29" i="27" s="1"/>
  <c r="H29" i="27" s="1"/>
  <c r="D28" i="27"/>
  <c r="F28" i="27" s="1"/>
  <c r="G28" i="27" s="1"/>
  <c r="D27" i="27"/>
  <c r="D23" i="27"/>
  <c r="D22" i="27"/>
  <c r="D21" i="27"/>
  <c r="F21" i="27" s="1"/>
  <c r="D20" i="27"/>
  <c r="F20" i="27" s="1"/>
  <c r="G20" i="27" s="1"/>
  <c r="D19" i="27"/>
  <c r="D18" i="27"/>
  <c r="D17" i="27"/>
  <c r="D13" i="27"/>
  <c r="D12" i="27"/>
  <c r="D11" i="27"/>
  <c r="D10" i="27"/>
  <c r="D9" i="27"/>
  <c r="D8" i="27"/>
  <c r="D7" i="27"/>
  <c r="F7" i="27" s="1"/>
  <c r="G7" i="27" s="1"/>
  <c r="H7" i="27" s="1"/>
  <c r="D6" i="27"/>
  <c r="F9" i="27"/>
  <c r="G9" i="27" s="1"/>
  <c r="H9" i="27" s="1"/>
  <c r="F8" i="27"/>
  <c r="G8" i="27" s="1"/>
  <c r="H8" i="27" s="1"/>
  <c r="E38" i="26"/>
  <c r="E46" i="26"/>
  <c r="E45" i="26"/>
  <c r="E44" i="26"/>
  <c r="E43" i="26"/>
  <c r="E42" i="26"/>
  <c r="E41" i="26"/>
  <c r="E40" i="26"/>
  <c r="E39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2" i="26"/>
  <c r="E13" i="26"/>
  <c r="E11" i="26"/>
  <c r="E10" i="26"/>
  <c r="E9" i="26"/>
  <c r="E8" i="26"/>
  <c r="E7" i="26"/>
  <c r="E6" i="26"/>
  <c r="E5" i="26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B33" i="25"/>
  <c r="B34" i="25" s="1"/>
  <c r="D32" i="25"/>
  <c r="D31" i="25"/>
  <c r="D15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4" i="25"/>
  <c r="D13" i="25"/>
  <c r="D12" i="25"/>
  <c r="D11" i="25"/>
  <c r="D10" i="25"/>
  <c r="D9" i="25"/>
  <c r="D8" i="25"/>
  <c r="B8" i="25"/>
  <c r="D7" i="25"/>
  <c r="D6" i="25"/>
  <c r="D49" i="24"/>
  <c r="D72" i="24"/>
  <c r="D48" i="24"/>
  <c r="D25" i="24"/>
  <c r="D71" i="24"/>
  <c r="D47" i="24"/>
  <c r="D24" i="24"/>
  <c r="D70" i="24"/>
  <c r="D46" i="24"/>
  <c r="D23" i="24"/>
  <c r="D69" i="24"/>
  <c r="D45" i="24"/>
  <c r="D22" i="24"/>
  <c r="D68" i="24"/>
  <c r="D44" i="24"/>
  <c r="D21" i="24"/>
  <c r="D67" i="24"/>
  <c r="D43" i="24"/>
  <c r="D20" i="24"/>
  <c r="D66" i="24"/>
  <c r="D42" i="24"/>
  <c r="D19" i="24"/>
  <c r="D65" i="24"/>
  <c r="D41" i="24"/>
  <c r="D18" i="24"/>
  <c r="D64" i="24"/>
  <c r="D40" i="24"/>
  <c r="D17" i="24"/>
  <c r="D63" i="24"/>
  <c r="D39" i="24"/>
  <c r="D16" i="24"/>
  <c r="D62" i="24"/>
  <c r="D38" i="24"/>
  <c r="D15" i="24"/>
  <c r="D61" i="24"/>
  <c r="D37" i="24"/>
  <c r="D14" i="24"/>
  <c r="D60" i="24"/>
  <c r="D36" i="24"/>
  <c r="D13" i="24"/>
  <c r="D59" i="24"/>
  <c r="D35" i="24"/>
  <c r="D12" i="24"/>
  <c r="D58" i="24"/>
  <c r="D34" i="24"/>
  <c r="D11" i="24"/>
  <c r="D57" i="24"/>
  <c r="D33" i="24"/>
  <c r="D10" i="24"/>
  <c r="D56" i="24"/>
  <c r="D32" i="24"/>
  <c r="D9" i="24"/>
  <c r="D55" i="24"/>
  <c r="B55" i="24"/>
  <c r="D31" i="24"/>
  <c r="B31" i="24"/>
  <c r="B32" i="24" s="1"/>
  <c r="D8" i="24"/>
  <c r="B8" i="24"/>
  <c r="B9" i="24" s="1"/>
  <c r="D54" i="24"/>
  <c r="D30" i="24"/>
  <c r="F29" i="24" s="1"/>
  <c r="G29" i="24" s="1"/>
  <c r="D7" i="24"/>
  <c r="D53" i="24"/>
  <c r="D6" i="24"/>
  <c r="J37" i="28" l="1"/>
  <c r="H37" i="28"/>
  <c r="F8" i="26"/>
  <c r="F32" i="26"/>
  <c r="F36" i="26"/>
  <c r="H17" i="28"/>
  <c r="I17" i="28" s="1"/>
  <c r="H24" i="28"/>
  <c r="H67" i="28"/>
  <c r="F5" i="26"/>
  <c r="K53" i="28"/>
  <c r="H53" i="28"/>
  <c r="J39" i="28"/>
  <c r="H39" i="28"/>
  <c r="F13" i="27"/>
  <c r="G13" i="27" s="1"/>
  <c r="H10" i="28"/>
  <c r="H7" i="28"/>
  <c r="K58" i="28"/>
  <c r="K70" i="28"/>
  <c r="J70" i="28"/>
  <c r="K74" i="28"/>
  <c r="J74" i="28"/>
  <c r="H12" i="28"/>
  <c r="J17" i="28"/>
  <c r="K17" i="28"/>
  <c r="J42" i="28"/>
  <c r="K42" i="28"/>
  <c r="K9" i="28"/>
  <c r="J10" i="28"/>
  <c r="O10" i="28" s="1"/>
  <c r="K10" i="28"/>
  <c r="K18" i="28"/>
  <c r="J19" i="28"/>
  <c r="K19" i="28"/>
  <c r="K22" i="28"/>
  <c r="J24" i="28"/>
  <c r="K24" i="28"/>
  <c r="K29" i="28"/>
  <c r="J29" i="28"/>
  <c r="J40" i="28"/>
  <c r="K40" i="28"/>
  <c r="K48" i="28"/>
  <c r="J48" i="28"/>
  <c r="K57" i="28"/>
  <c r="J57" i="28"/>
  <c r="K62" i="28"/>
  <c r="J62" i="28"/>
  <c r="J65" i="28"/>
  <c r="K65" i="28"/>
  <c r="K69" i="28"/>
  <c r="J69" i="28"/>
  <c r="K71" i="28"/>
  <c r="J71" i="28"/>
  <c r="J28" i="28"/>
  <c r="K7" i="28"/>
  <c r="J8" i="28"/>
  <c r="K8" i="28"/>
  <c r="K13" i="28"/>
  <c r="J14" i="28"/>
  <c r="O14" i="28" s="1"/>
  <c r="K14" i="28"/>
  <c r="K20" i="28"/>
  <c r="J21" i="28"/>
  <c r="K21" i="28"/>
  <c r="K25" i="28"/>
  <c r="J27" i="28"/>
  <c r="K27" i="28"/>
  <c r="K28" i="28"/>
  <c r="K31" i="28"/>
  <c r="P30" i="28" s="1"/>
  <c r="J31" i="28"/>
  <c r="K44" i="28"/>
  <c r="J44" i="28"/>
  <c r="K60" i="28"/>
  <c r="J60" i="28"/>
  <c r="K15" i="28"/>
  <c r="P14" i="28" s="1"/>
  <c r="K34" i="28"/>
  <c r="J34" i="28"/>
  <c r="O34" i="28" s="1"/>
  <c r="H34" i="28"/>
  <c r="K50" i="28"/>
  <c r="J50" i="28"/>
  <c r="K67" i="28"/>
  <c r="J67" i="28"/>
  <c r="K11" i="28"/>
  <c r="J12" i="28"/>
  <c r="N12" i="28"/>
  <c r="K12" i="28"/>
  <c r="J13" i="28"/>
  <c r="H14" i="28"/>
  <c r="J20" i="28"/>
  <c r="J25" i="28"/>
  <c r="H27" i="28"/>
  <c r="H30" i="28"/>
  <c r="J30" i="28"/>
  <c r="H32" i="28"/>
  <c r="K33" i="28"/>
  <c r="J33" i="28"/>
  <c r="O32" i="28" s="1"/>
  <c r="K46" i="28"/>
  <c r="J46" i="28"/>
  <c r="J56" i="28"/>
  <c r="K56" i="28"/>
  <c r="K61" i="28"/>
  <c r="J61" i="28"/>
  <c r="K64" i="28"/>
  <c r="J64" i="28"/>
  <c r="K73" i="28"/>
  <c r="J73" i="28"/>
  <c r="K75" i="28"/>
  <c r="J75" i="28"/>
  <c r="K32" i="28"/>
  <c r="P32" i="28" s="1"/>
  <c r="K35" i="28"/>
  <c r="K37" i="28"/>
  <c r="K39" i="28"/>
  <c r="K41" i="28"/>
  <c r="K43" i="28"/>
  <c r="K45" i="28"/>
  <c r="K47" i="28"/>
  <c r="K49" i="28"/>
  <c r="K51" i="28"/>
  <c r="K55" i="28"/>
  <c r="K59" i="28"/>
  <c r="K63" i="28"/>
  <c r="K68" i="28"/>
  <c r="K72" i="28"/>
  <c r="J53" i="28"/>
  <c r="J54" i="28"/>
  <c r="J58" i="28"/>
  <c r="F6" i="24"/>
  <c r="F49" i="24"/>
  <c r="G49" i="24" s="1"/>
  <c r="F6" i="25"/>
  <c r="G6" i="25" s="1"/>
  <c r="H6" i="25" s="1"/>
  <c r="F31" i="25"/>
  <c r="F33" i="25"/>
  <c r="G33" i="25" s="1"/>
  <c r="H33" i="25" s="1"/>
  <c r="F32" i="25"/>
  <c r="G32" i="25" s="1"/>
  <c r="H32" i="25" s="1"/>
  <c r="F6" i="27"/>
  <c r="F23" i="27"/>
  <c r="G23" i="27" s="1"/>
  <c r="H23" i="27" s="1"/>
  <c r="H44" i="27"/>
  <c r="G44" i="27"/>
  <c r="F35" i="27"/>
  <c r="F22" i="27"/>
  <c r="G22" i="27" s="1"/>
  <c r="H22" i="27" s="1"/>
  <c r="F44" i="27"/>
  <c r="H28" i="27"/>
  <c r="F27" i="27"/>
  <c r="G27" i="27" s="1"/>
  <c r="H20" i="27"/>
  <c r="F17" i="27"/>
  <c r="F19" i="27"/>
  <c r="G19" i="27" s="1"/>
  <c r="H19" i="27" s="1"/>
  <c r="G21" i="27"/>
  <c r="H21" i="27" s="1"/>
  <c r="F18" i="27"/>
  <c r="G18" i="27" s="1"/>
  <c r="H18" i="27" s="1"/>
  <c r="F10" i="27"/>
  <c r="G10" i="27" s="1"/>
  <c r="H10" i="27" s="1"/>
  <c r="F44" i="26"/>
  <c r="F25" i="26"/>
  <c r="F29" i="26"/>
  <c r="F14" i="26"/>
  <c r="F21" i="26"/>
  <c r="F40" i="26"/>
  <c r="F18" i="26"/>
  <c r="F12" i="26"/>
  <c r="B35" i="25"/>
  <c r="F34" i="25" s="1"/>
  <c r="G34" i="25" s="1"/>
  <c r="H34" i="25" s="1"/>
  <c r="F7" i="25"/>
  <c r="G7" i="25" s="1"/>
  <c r="H7" i="25" s="1"/>
  <c r="B9" i="25"/>
  <c r="F8" i="25" s="1"/>
  <c r="F53" i="24"/>
  <c r="G53" i="24" s="1"/>
  <c r="H53" i="24" s="1"/>
  <c r="F31" i="24"/>
  <c r="G31" i="24" s="1"/>
  <c r="H31" i="24" s="1"/>
  <c r="F8" i="24"/>
  <c r="F7" i="24"/>
  <c r="G7" i="24" s="1"/>
  <c r="H7" i="24" s="1"/>
  <c r="F54" i="24"/>
  <c r="F30" i="24"/>
  <c r="G30" i="24" s="1"/>
  <c r="B56" i="24"/>
  <c r="F55" i="24" s="1"/>
  <c r="B33" i="24"/>
  <c r="H29" i="24"/>
  <c r="B10" i="24"/>
  <c r="F9" i="24" s="1"/>
  <c r="G9" i="24" s="1"/>
  <c r="H9" i="24" s="1"/>
  <c r="G8" i="24"/>
  <c r="H8" i="24" s="1"/>
  <c r="F47" i="26" l="1"/>
  <c r="O27" i="28"/>
  <c r="P27" i="28"/>
  <c r="P12" i="28"/>
  <c r="O39" i="28"/>
  <c r="P53" i="28"/>
  <c r="O12" i="28"/>
  <c r="N17" i="28"/>
  <c r="O53" i="28"/>
  <c r="O30" i="28"/>
  <c r="N14" i="28"/>
  <c r="N10" i="28"/>
  <c r="P17" i="28"/>
  <c r="P39" i="28"/>
  <c r="P34" i="28"/>
  <c r="L7" i="28"/>
  <c r="O7" i="28"/>
  <c r="O17" i="28"/>
  <c r="N39" i="28"/>
  <c r="P7" i="28"/>
  <c r="N7" i="28"/>
  <c r="P10" i="28"/>
  <c r="G54" i="24"/>
  <c r="H54" i="24" s="1"/>
  <c r="G6" i="24"/>
  <c r="H6" i="24" s="1"/>
  <c r="G31" i="25"/>
  <c r="F24" i="27"/>
  <c r="G17" i="27"/>
  <c r="G24" i="27" s="1"/>
  <c r="G35" i="27"/>
  <c r="H35" i="27" s="1"/>
  <c r="G6" i="27"/>
  <c r="F36" i="27"/>
  <c r="F12" i="27"/>
  <c r="G12" i="27" s="1"/>
  <c r="H12" i="27" s="1"/>
  <c r="F11" i="27"/>
  <c r="G11" i="27" s="1"/>
  <c r="H11" i="27" s="1"/>
  <c r="B36" i="25"/>
  <c r="F35" i="25" s="1"/>
  <c r="B10" i="25"/>
  <c r="G8" i="25"/>
  <c r="H8" i="25" s="1"/>
  <c r="B57" i="24"/>
  <c r="F32" i="24"/>
  <c r="G32" i="24" s="1"/>
  <c r="H32" i="24" s="1"/>
  <c r="H30" i="24"/>
  <c r="H49" i="24"/>
  <c r="G55" i="24"/>
  <c r="H55" i="24" s="1"/>
  <c r="B11" i="24"/>
  <c r="F10" i="24" s="1"/>
  <c r="G10" i="24" s="1"/>
  <c r="H10" i="24" s="1"/>
  <c r="B34" i="24"/>
  <c r="G36" i="27" l="1"/>
  <c r="H31" i="25"/>
  <c r="F9" i="25"/>
  <c r="H6" i="27"/>
  <c r="G14" i="27"/>
  <c r="F14" i="27"/>
  <c r="H27" i="27"/>
  <c r="H36" i="27" s="1"/>
  <c r="H17" i="27"/>
  <c r="H24" i="27" s="1"/>
  <c r="B37" i="25"/>
  <c r="F36" i="25" s="1"/>
  <c r="G35" i="25"/>
  <c r="H35" i="25" s="1"/>
  <c r="B11" i="25"/>
  <c r="F10" i="25" s="1"/>
  <c r="B58" i="24"/>
  <c r="F56" i="24"/>
  <c r="F33" i="24"/>
  <c r="G33" i="24" s="1"/>
  <c r="H33" i="24" s="1"/>
  <c r="B12" i="24"/>
  <c r="F11" i="24" s="1"/>
  <c r="B35" i="24"/>
  <c r="F34" i="24" s="1"/>
  <c r="F57" i="24" l="1"/>
  <c r="G57" i="24" s="1"/>
  <c r="H57" i="24" s="1"/>
  <c r="G9" i="25"/>
  <c r="B38" i="25"/>
  <c r="G36" i="25"/>
  <c r="B12" i="25"/>
  <c r="F11" i="25" s="1"/>
  <c r="G10" i="25"/>
  <c r="H10" i="25" s="1"/>
  <c r="G56" i="24"/>
  <c r="H56" i="24" s="1"/>
  <c r="B59" i="24"/>
  <c r="F58" i="24" s="1"/>
  <c r="G11" i="24"/>
  <c r="H11" i="24" s="1"/>
  <c r="B36" i="24"/>
  <c r="G34" i="24"/>
  <c r="B13" i="24"/>
  <c r="F12" i="24" s="1"/>
  <c r="H36" i="25" l="1"/>
  <c r="H9" i="25"/>
  <c r="F37" i="25"/>
  <c r="G37" i="25" s="1"/>
  <c r="H37" i="25" s="1"/>
  <c r="H13" i="27"/>
  <c r="H14" i="27" s="1"/>
  <c r="B39" i="25"/>
  <c r="F38" i="25" s="1"/>
  <c r="B13" i="25"/>
  <c r="G11" i="25"/>
  <c r="H11" i="25" s="1"/>
  <c r="B60" i="24"/>
  <c r="G12" i="24"/>
  <c r="H12" i="24" s="1"/>
  <c r="F35" i="24"/>
  <c r="B37" i="24"/>
  <c r="F36" i="24" s="1"/>
  <c r="B14" i="24"/>
  <c r="H34" i="24"/>
  <c r="F12" i="25" l="1"/>
  <c r="G12" i="25" s="1"/>
  <c r="H12" i="25" s="1"/>
  <c r="B40" i="25"/>
  <c r="G38" i="25"/>
  <c r="B14" i="25"/>
  <c r="B61" i="24"/>
  <c r="F59" i="24"/>
  <c r="G59" i="24" s="1"/>
  <c r="H59" i="24" s="1"/>
  <c r="G36" i="24"/>
  <c r="H36" i="24" s="1"/>
  <c r="G35" i="24"/>
  <c r="H35" i="24" s="1"/>
  <c r="F13" i="24"/>
  <c r="G58" i="24"/>
  <c r="H58" i="24" s="1"/>
  <c r="B15" i="24"/>
  <c r="B38" i="24"/>
  <c r="F37" i="24" s="1"/>
  <c r="H38" i="25" l="1"/>
  <c r="F39" i="25"/>
  <c r="G39" i="25" s="1"/>
  <c r="H39" i="25" s="1"/>
  <c r="F13" i="25"/>
  <c r="G13" i="25" s="1"/>
  <c r="H13" i="25" s="1"/>
  <c r="B41" i="25"/>
  <c r="F40" i="25" s="1"/>
  <c r="B15" i="25"/>
  <c r="F14" i="24"/>
  <c r="G14" i="24" s="1"/>
  <c r="H14" i="24" s="1"/>
  <c r="B62" i="24"/>
  <c r="F60" i="24"/>
  <c r="G60" i="24" s="1"/>
  <c r="H60" i="24" s="1"/>
  <c r="G37" i="24"/>
  <c r="H37" i="24" s="1"/>
  <c r="G13" i="24"/>
  <c r="H13" i="24" s="1"/>
  <c r="B39" i="24"/>
  <c r="F38" i="24" s="1"/>
  <c r="B16" i="24"/>
  <c r="F14" i="25" l="1"/>
  <c r="B42" i="25"/>
  <c r="G40" i="25"/>
  <c r="H40" i="25" s="1"/>
  <c r="B16" i="25"/>
  <c r="G14" i="25"/>
  <c r="H14" i="25" s="1"/>
  <c r="B63" i="24"/>
  <c r="F15" i="24"/>
  <c r="G15" i="24" s="1"/>
  <c r="H15" i="24" s="1"/>
  <c r="F61" i="24"/>
  <c r="G61" i="24" s="1"/>
  <c r="H61" i="24" s="1"/>
  <c r="B17" i="24"/>
  <c r="F16" i="24" s="1"/>
  <c r="G16" i="24" s="1"/>
  <c r="H16" i="24" s="1"/>
  <c r="B40" i="24"/>
  <c r="F39" i="24" s="1"/>
  <c r="G38" i="24"/>
  <c r="F41" i="25" l="1"/>
  <c r="G41" i="25" s="1"/>
  <c r="H41" i="25" s="1"/>
  <c r="F15" i="25"/>
  <c r="G15" i="25" s="1"/>
  <c r="H15" i="25" s="1"/>
  <c r="B43" i="25"/>
  <c r="B17" i="25"/>
  <c r="F16" i="25" s="1"/>
  <c r="B64" i="24"/>
  <c r="F63" i="24" s="1"/>
  <c r="G63" i="24" s="1"/>
  <c r="H63" i="24" s="1"/>
  <c r="G39" i="24"/>
  <c r="H39" i="24" s="1"/>
  <c r="F62" i="24"/>
  <c r="G62" i="24" s="1"/>
  <c r="H62" i="24" s="1"/>
  <c r="H38" i="24"/>
  <c r="B41" i="24"/>
  <c r="F40" i="24" s="1"/>
  <c r="B18" i="24"/>
  <c r="F17" i="24" s="1"/>
  <c r="F42" i="25" l="1"/>
  <c r="G42" i="25" s="1"/>
  <c r="H42" i="25" s="1"/>
  <c r="B44" i="25"/>
  <c r="B18" i="25"/>
  <c r="G16" i="25"/>
  <c r="H16" i="25" s="1"/>
  <c r="G40" i="24"/>
  <c r="H40" i="24" s="1"/>
  <c r="B65" i="24"/>
  <c r="F64" i="24" s="1"/>
  <c r="B42" i="24"/>
  <c r="B19" i="24"/>
  <c r="F18" i="24" s="1"/>
  <c r="G17" i="24"/>
  <c r="H17" i="24" s="1"/>
  <c r="F43" i="25" l="1"/>
  <c r="G43" i="25" s="1"/>
  <c r="H43" i="25" s="1"/>
  <c r="F17" i="25"/>
  <c r="G17" i="25" s="1"/>
  <c r="H17" i="25" s="1"/>
  <c r="B45" i="25"/>
  <c r="B19" i="25"/>
  <c r="G18" i="24"/>
  <c r="H18" i="24" s="1"/>
  <c r="F41" i="24"/>
  <c r="G41" i="24" s="1"/>
  <c r="H41" i="24" s="1"/>
  <c r="G64" i="24"/>
  <c r="H64" i="24" s="1"/>
  <c r="B66" i="24"/>
  <c r="F65" i="24" s="1"/>
  <c r="G65" i="24" s="1"/>
  <c r="H65" i="24" s="1"/>
  <c r="B20" i="24"/>
  <c r="F19" i="24" s="1"/>
  <c r="G19" i="24" s="1"/>
  <c r="H19" i="24" s="1"/>
  <c r="B43" i="24"/>
  <c r="F18" i="25" l="1"/>
  <c r="G18" i="25" s="1"/>
  <c r="H18" i="25" s="1"/>
  <c r="F44" i="25"/>
  <c r="G44" i="25" s="1"/>
  <c r="H44" i="25" s="1"/>
  <c r="B46" i="25"/>
  <c r="F45" i="25" s="1"/>
  <c r="G45" i="25" s="1"/>
  <c r="H45" i="25" s="1"/>
  <c r="B20" i="25"/>
  <c r="B67" i="24"/>
  <c r="F66" i="24" s="1"/>
  <c r="F42" i="24"/>
  <c r="G42" i="24" s="1"/>
  <c r="H42" i="24" s="1"/>
  <c r="B44" i="24"/>
  <c r="F43" i="24" s="1"/>
  <c r="G43" i="24" s="1"/>
  <c r="H43" i="24" s="1"/>
  <c r="B21" i="24"/>
  <c r="F20" i="24" s="1"/>
  <c r="G20" i="24" s="1"/>
  <c r="H20" i="24" s="1"/>
  <c r="F19" i="25" l="1"/>
  <c r="G19" i="25" s="1"/>
  <c r="H19" i="25" s="1"/>
  <c r="B47" i="25"/>
  <c r="B21" i="25"/>
  <c r="G66" i="24"/>
  <c r="H66" i="24" s="1"/>
  <c r="B68" i="24"/>
  <c r="B22" i="24"/>
  <c r="F21" i="24" s="1"/>
  <c r="B45" i="24"/>
  <c r="F44" i="24" s="1"/>
  <c r="G44" i="24" s="1"/>
  <c r="H44" i="24" s="1"/>
  <c r="F46" i="25" l="1"/>
  <c r="G46" i="25" s="1"/>
  <c r="H46" i="25" s="1"/>
  <c r="F20" i="25"/>
  <c r="G20" i="25" s="1"/>
  <c r="H20" i="25" s="1"/>
  <c r="B48" i="25"/>
  <c r="B22" i="25"/>
  <c r="F21" i="25" s="1"/>
  <c r="G21" i="25" s="1"/>
  <c r="H21" i="25" s="1"/>
  <c r="B69" i="24"/>
  <c r="F67" i="24"/>
  <c r="G67" i="24" s="1"/>
  <c r="H67" i="24" s="1"/>
  <c r="B23" i="24"/>
  <c r="F22" i="24" s="1"/>
  <c r="B46" i="24"/>
  <c r="G21" i="24"/>
  <c r="H21" i="24" s="1"/>
  <c r="F47" i="25" l="1"/>
  <c r="G47" i="25" s="1"/>
  <c r="H47" i="25" s="1"/>
  <c r="B49" i="25"/>
  <c r="F48" i="25" s="1"/>
  <c r="B23" i="25"/>
  <c r="F45" i="24"/>
  <c r="G45" i="24" s="1"/>
  <c r="H45" i="24" s="1"/>
  <c r="B70" i="24"/>
  <c r="F69" i="24" s="1"/>
  <c r="F68" i="24"/>
  <c r="G68" i="24" s="1"/>
  <c r="H68" i="24" s="1"/>
  <c r="B47" i="24"/>
  <c r="B24" i="24"/>
  <c r="F23" i="24" s="1"/>
  <c r="G23" i="24" s="1"/>
  <c r="H23" i="24" s="1"/>
  <c r="G22" i="24"/>
  <c r="H22" i="24" s="1"/>
  <c r="F22" i="25" l="1"/>
  <c r="G22" i="25" s="1"/>
  <c r="H22" i="25" s="1"/>
  <c r="B50" i="25"/>
  <c r="G48" i="25"/>
  <c r="H48" i="25" s="1"/>
  <c r="B24" i="25"/>
  <c r="F47" i="24"/>
  <c r="G47" i="24" s="1"/>
  <c r="H47" i="24" s="1"/>
  <c r="F48" i="24"/>
  <c r="G48" i="24" s="1"/>
  <c r="F24" i="24"/>
  <c r="G24" i="24" s="1"/>
  <c r="H24" i="24" s="1"/>
  <c r="F25" i="24"/>
  <c r="G25" i="24" s="1"/>
  <c r="G69" i="24"/>
  <c r="H69" i="24" s="1"/>
  <c r="B71" i="24"/>
  <c r="F72" i="24" s="1"/>
  <c r="G72" i="24" s="1"/>
  <c r="H72" i="24" s="1"/>
  <c r="F46" i="24"/>
  <c r="G46" i="24" s="1"/>
  <c r="H46" i="24" s="1"/>
  <c r="F23" i="25" l="1"/>
  <c r="G23" i="25" s="1"/>
  <c r="H23" i="25" s="1"/>
  <c r="F49" i="25"/>
  <c r="G49" i="25" s="1"/>
  <c r="H49" i="25" s="1"/>
  <c r="B51" i="25"/>
  <c r="B25" i="25"/>
  <c r="G50" i="24"/>
  <c r="F71" i="24"/>
  <c r="G71" i="24" s="1"/>
  <c r="H71" i="24" s="1"/>
  <c r="F70" i="24"/>
  <c r="G70" i="24" s="1"/>
  <c r="F50" i="24"/>
  <c r="G26" i="24"/>
  <c r="F26" i="24"/>
  <c r="H48" i="24"/>
  <c r="H25" i="24"/>
  <c r="F24" i="25" l="1"/>
  <c r="G24" i="25" s="1"/>
  <c r="H24" i="25" s="1"/>
  <c r="F51" i="25"/>
  <c r="F52" i="25"/>
  <c r="G52" i="25" s="1"/>
  <c r="H52" i="25" s="1"/>
  <c r="F50" i="25"/>
  <c r="G50" i="25" s="1"/>
  <c r="H50" i="25" s="1"/>
  <c r="B26" i="25"/>
  <c r="F73" i="24"/>
  <c r="H26" i="24"/>
  <c r="H70" i="24"/>
  <c r="H50" i="24"/>
  <c r="H73" i="24" l="1"/>
  <c r="L57" i="24" s="1"/>
  <c r="G51" i="25"/>
  <c r="F53" i="25"/>
  <c r="F26" i="25"/>
  <c r="G26" i="25" s="1"/>
  <c r="F27" i="25"/>
  <c r="F25" i="25"/>
  <c r="G25" i="25" s="1"/>
  <c r="H25" i="25" s="1"/>
  <c r="K73" i="24"/>
  <c r="K74" i="24" s="1"/>
  <c r="L25" i="24"/>
  <c r="P37" i="24"/>
  <c r="L6" i="24"/>
  <c r="L9" i="24"/>
  <c r="L8" i="24"/>
  <c r="L7" i="24"/>
  <c r="L10" i="24"/>
  <c r="L11" i="24"/>
  <c r="L12" i="24"/>
  <c r="L13" i="24"/>
  <c r="L14" i="24"/>
  <c r="L16" i="24"/>
  <c r="L15" i="24"/>
  <c r="L17" i="24"/>
  <c r="L19" i="24"/>
  <c r="L18" i="24"/>
  <c r="L20" i="24"/>
  <c r="L21" i="24"/>
  <c r="L23" i="24"/>
  <c r="L22" i="24"/>
  <c r="L24" i="24"/>
  <c r="P38" i="24"/>
  <c r="P39" i="24" s="1"/>
  <c r="Q39" i="24" s="1"/>
  <c r="G73" i="24"/>
  <c r="K26" i="24"/>
  <c r="L29" i="24"/>
  <c r="L32" i="24"/>
  <c r="L31" i="24"/>
  <c r="L49" i="24"/>
  <c r="L33" i="24"/>
  <c r="L30" i="24"/>
  <c r="L35" i="24"/>
  <c r="L34" i="24"/>
  <c r="L36" i="24"/>
  <c r="L37" i="24"/>
  <c r="L39" i="24"/>
  <c r="L40" i="24"/>
  <c r="L38" i="24"/>
  <c r="L42" i="24"/>
  <c r="L41" i="24"/>
  <c r="L43" i="24"/>
  <c r="L44" i="24"/>
  <c r="L46" i="24"/>
  <c r="L45" i="24"/>
  <c r="L47" i="24"/>
  <c r="L48" i="24"/>
  <c r="K50" i="24"/>
  <c r="L63" i="24" l="1"/>
  <c r="L62" i="24"/>
  <c r="L66" i="24"/>
  <c r="L65" i="24"/>
  <c r="L70" i="24"/>
  <c r="L53" i="24"/>
  <c r="L69" i="24"/>
  <c r="L56" i="24"/>
  <c r="L58" i="24"/>
  <c r="L59" i="24"/>
  <c r="L55" i="24"/>
  <c r="L54" i="24"/>
  <c r="L61" i="24"/>
  <c r="L60" i="24"/>
  <c r="P41" i="24"/>
  <c r="Q41" i="24" s="1"/>
  <c r="L71" i="24"/>
  <c r="L72" i="24"/>
  <c r="L64" i="24"/>
  <c r="L68" i="24"/>
  <c r="L67" i="24"/>
  <c r="H51" i="25"/>
  <c r="H53" i="25" s="1"/>
  <c r="G53" i="25"/>
  <c r="G27" i="25"/>
  <c r="F28" i="25"/>
  <c r="P40" i="24"/>
  <c r="Q40" i="24" s="1"/>
  <c r="H27" i="25" l="1"/>
  <c r="G28" i="25"/>
  <c r="H26" i="25"/>
  <c r="H28" i="25" s="1"/>
  <c r="P40" i="25" s="1"/>
  <c r="P41" i="25" s="1"/>
  <c r="P43" i="25" l="1"/>
  <c r="P39" i="25"/>
  <c r="Q41" i="25" s="1"/>
  <c r="I20" i="16"/>
  <c r="I21" i="16"/>
  <c r="I19" i="16"/>
  <c r="O12" i="16"/>
  <c r="O8" i="16"/>
  <c r="O9" i="16"/>
  <c r="O10" i="16"/>
  <c r="O11" i="16"/>
  <c r="K3" i="20"/>
  <c r="K4" i="20"/>
  <c r="K5" i="20"/>
  <c r="K6" i="20"/>
  <c r="K7" i="20"/>
  <c r="K8" i="20"/>
  <c r="K9" i="20"/>
  <c r="K10" i="20"/>
  <c r="K2" i="20"/>
  <c r="L4" i="20"/>
  <c r="O21" i="16" l="1"/>
  <c r="O20" i="16"/>
  <c r="O19" i="16"/>
  <c r="Q43" i="25"/>
  <c r="P42" i="25"/>
  <c r="Q42" i="25" s="1"/>
  <c r="N4" i="20" l="1"/>
  <c r="N7" i="20"/>
  <c r="K11" i="20"/>
  <c r="K12" i="20"/>
  <c r="L2" i="20"/>
  <c r="L3" i="20"/>
  <c r="M3" i="20"/>
  <c r="L5" i="20"/>
  <c r="N5" i="20" s="1"/>
  <c r="M5" i="20"/>
  <c r="L6" i="20"/>
  <c r="N6" i="20" s="1"/>
  <c r="M6" i="20"/>
  <c r="L8" i="20"/>
  <c r="N8" i="20" s="1"/>
  <c r="M8" i="20"/>
  <c r="L9" i="20"/>
  <c r="N9" i="20" s="1"/>
  <c r="M9" i="20"/>
  <c r="M4" i="20"/>
  <c r="L7" i="20"/>
  <c r="M7" i="20"/>
  <c r="L10" i="20"/>
  <c r="N10" i="20" s="1"/>
  <c r="M10" i="20"/>
  <c r="L11" i="20"/>
  <c r="M11" i="20"/>
  <c r="L12" i="20"/>
  <c r="M12" i="20"/>
  <c r="M2" i="20"/>
  <c r="N3" i="20" l="1"/>
  <c r="N2" i="20"/>
  <c r="I7" i="22" l="1"/>
  <c r="I71" i="22"/>
  <c r="F83" i="22"/>
  <c r="C90" i="22"/>
  <c r="I62" i="22"/>
  <c r="F39" i="22"/>
  <c r="C35" i="22"/>
  <c r="I9" i="22"/>
  <c r="F22" i="22"/>
  <c r="C23" i="22"/>
  <c r="K22" i="16"/>
  <c r="K21" i="16"/>
  <c r="K20" i="16"/>
  <c r="K19" i="16"/>
  <c r="K18" i="16"/>
  <c r="F36" i="22" l="1"/>
  <c r="F12" i="22"/>
  <c r="C9" i="22"/>
  <c r="C71" i="22"/>
  <c r="I43" i="22"/>
  <c r="I50" i="22"/>
  <c r="F24" i="22"/>
  <c r="C67" i="22"/>
  <c r="I69" i="22"/>
  <c r="C72" i="22"/>
  <c r="I47" i="22"/>
  <c r="I58" i="22"/>
  <c r="I45" i="22"/>
  <c r="I35" i="22"/>
  <c r="I11" i="22"/>
  <c r="I41" i="22"/>
  <c r="C82" i="22"/>
  <c r="I60" i="22"/>
  <c r="F15" i="22"/>
  <c r="F19" i="22"/>
  <c r="F8" i="22"/>
  <c r="F17" i="22"/>
  <c r="F21" i="22"/>
  <c r="C25" i="22"/>
  <c r="F75" i="22"/>
  <c r="F77" i="22"/>
  <c r="F85" i="22"/>
  <c r="F86" i="22"/>
  <c r="F87" i="22"/>
  <c r="F88" i="22"/>
  <c r="F89" i="22"/>
  <c r="F7" i="22"/>
  <c r="I34" i="22"/>
  <c r="C8" i="22"/>
  <c r="F35" i="22"/>
  <c r="I68" i="22"/>
  <c r="C36" i="22"/>
  <c r="F69" i="22"/>
  <c r="I10" i="22"/>
  <c r="C70" i="22"/>
  <c r="F11" i="22"/>
  <c r="I38" i="22"/>
  <c r="C12" i="22"/>
  <c r="I39" i="22"/>
  <c r="F13" i="22"/>
  <c r="C73" i="22"/>
  <c r="F41" i="22"/>
  <c r="C15" i="22"/>
  <c r="C75" i="22"/>
  <c r="F43" i="22"/>
  <c r="C17" i="22"/>
  <c r="C77" i="22"/>
  <c r="F45" i="22"/>
  <c r="C19" i="22"/>
  <c r="C79" i="22"/>
  <c r="F47" i="22"/>
  <c r="C21" i="22"/>
  <c r="C81" i="22"/>
  <c r="I49" i="22"/>
  <c r="F23" i="22"/>
  <c r="C24" i="22"/>
  <c r="F84" i="22"/>
  <c r="C85" i="22"/>
  <c r="C86" i="22"/>
  <c r="C87" i="22"/>
  <c r="C88" i="22"/>
  <c r="C89" i="22"/>
  <c r="F90" i="22"/>
  <c r="C92" i="22"/>
  <c r="F70" i="22"/>
  <c r="F73" i="22"/>
  <c r="C34" i="22"/>
  <c r="F67" i="22"/>
  <c r="I8" i="22"/>
  <c r="C68" i="22"/>
  <c r="F9" i="22"/>
  <c r="I36" i="22"/>
  <c r="C10" i="22"/>
  <c r="F37" i="22"/>
  <c r="I70" i="22"/>
  <c r="C38" i="22"/>
  <c r="F71" i="22"/>
  <c r="C39" i="22"/>
  <c r="F72" i="22"/>
  <c r="F40" i="22"/>
  <c r="C14" i="22"/>
  <c r="C74" i="22"/>
  <c r="F42" i="22"/>
  <c r="C16" i="22"/>
  <c r="C76" i="22"/>
  <c r="F44" i="22"/>
  <c r="C18" i="22"/>
  <c r="C78" i="22"/>
  <c r="F46" i="22"/>
  <c r="C20" i="22"/>
  <c r="C80" i="22"/>
  <c r="F48" i="22"/>
  <c r="C22" i="22"/>
  <c r="F82" i="22"/>
  <c r="C83" i="22"/>
  <c r="I51" i="22"/>
  <c r="F25" i="22"/>
  <c r="F26" i="22"/>
  <c r="F27" i="22"/>
  <c r="F28" i="22"/>
  <c r="F29" i="22"/>
  <c r="I57" i="22"/>
  <c r="C91" i="22"/>
  <c r="I61" i="22"/>
  <c r="C37" i="22"/>
  <c r="C40" i="22"/>
  <c r="F79" i="22"/>
  <c r="F81" i="22"/>
  <c r="C7" i="22"/>
  <c r="F34" i="22"/>
  <c r="I67" i="22"/>
  <c r="F68" i="22"/>
  <c r="C69" i="22"/>
  <c r="F10" i="22"/>
  <c r="I37" i="22"/>
  <c r="C11" i="22"/>
  <c r="F38" i="22"/>
  <c r="C13" i="22"/>
  <c r="I40" i="22"/>
  <c r="F14" i="22"/>
  <c r="F74" i="22"/>
  <c r="I42" i="22"/>
  <c r="F16" i="22"/>
  <c r="F76" i="22"/>
  <c r="I44" i="22"/>
  <c r="F18" i="22"/>
  <c r="F78" i="22"/>
  <c r="I46" i="22"/>
  <c r="F20" i="22"/>
  <c r="F80" i="22"/>
  <c r="I48" i="22"/>
  <c r="C84" i="22"/>
  <c r="I52" i="22"/>
  <c r="I53" i="22"/>
  <c r="I54" i="22"/>
  <c r="I55" i="22"/>
  <c r="I56" i="22"/>
  <c r="I59" i="22"/>
  <c r="B7" i="16" l="1"/>
  <c r="B18" i="16" l="1"/>
  <c r="B16" i="16"/>
  <c r="B15" i="16"/>
  <c r="B8" i="16"/>
  <c r="J10" i="20"/>
  <c r="C24" i="16" s="1"/>
  <c r="J7" i="20"/>
  <c r="C14" i="16" s="1"/>
  <c r="J4" i="20"/>
  <c r="C6" i="16" s="1"/>
  <c r="J9" i="20"/>
  <c r="C18" i="16" s="1"/>
  <c r="J8" i="20"/>
  <c r="C23" i="16" s="1"/>
  <c r="J6" i="20"/>
  <c r="C15" i="16" s="1"/>
  <c r="J5" i="20"/>
  <c r="C16" i="16" s="1"/>
  <c r="J3" i="20"/>
  <c r="J2" i="20"/>
  <c r="C7" i="16" s="1"/>
  <c r="K12" i="16" l="1"/>
  <c r="K9" i="16"/>
  <c r="K10" i="16"/>
  <c r="K11" i="16"/>
  <c r="K8" i="16"/>
  <c r="Q49" i="3" l="1"/>
  <c r="N49" i="3"/>
  <c r="Q48" i="3"/>
  <c r="N48" i="3"/>
  <c r="Q47" i="3"/>
  <c r="N47" i="3"/>
  <c r="Q46" i="3"/>
  <c r="N46" i="3"/>
  <c r="N45" i="3"/>
  <c r="N44" i="3"/>
  <c r="N43" i="3"/>
  <c r="T43" i="3" s="1"/>
  <c r="N42" i="3"/>
  <c r="T42" i="3" s="1"/>
  <c r="N41" i="3"/>
  <c r="N40" i="3"/>
  <c r="T40" i="3" s="1"/>
  <c r="N39" i="3"/>
  <c r="T39" i="3" s="1"/>
  <c r="T38" i="3"/>
  <c r="T37" i="3"/>
  <c r="T36" i="3"/>
  <c r="T35" i="3"/>
  <c r="T34" i="3"/>
  <c r="T33" i="3"/>
  <c r="N32" i="3"/>
  <c r="T32" i="3" s="1"/>
  <c r="N31" i="3"/>
  <c r="T31" i="3" s="1"/>
  <c r="Q30" i="3"/>
  <c r="T30" i="3" s="1"/>
  <c r="Q29" i="3"/>
  <c r="T29" i="3" s="1"/>
  <c r="Q28" i="3"/>
  <c r="T28" i="3" s="1"/>
  <c r="Q27" i="3"/>
  <c r="T27" i="3" s="1"/>
  <c r="Q26" i="3"/>
  <c r="T26" i="3" s="1"/>
  <c r="Q25" i="3"/>
  <c r="T25" i="3" s="1"/>
  <c r="Q24" i="3"/>
  <c r="T24" i="3" s="1"/>
  <c r="Q23" i="3"/>
  <c r="T23" i="3" s="1"/>
  <c r="Q22" i="3"/>
  <c r="T22" i="3" s="1"/>
  <c r="Q21" i="3"/>
  <c r="T21" i="3" s="1"/>
  <c r="Q20" i="3"/>
  <c r="T20" i="3" s="1"/>
  <c r="Q19" i="3"/>
  <c r="T19" i="3" s="1"/>
  <c r="Q18" i="3"/>
  <c r="T18" i="3" s="1"/>
  <c r="Q17" i="3"/>
  <c r="T17" i="3" s="1"/>
  <c r="Q16" i="3"/>
  <c r="T16" i="3" s="1"/>
  <c r="Q15" i="3"/>
  <c r="T15" i="3" s="1"/>
  <c r="Q14" i="3"/>
  <c r="T14" i="3" s="1"/>
  <c r="Q13" i="3"/>
  <c r="T13" i="3" s="1"/>
  <c r="Q12" i="3"/>
  <c r="T12" i="3" s="1"/>
  <c r="Q11" i="3"/>
  <c r="T11" i="3" s="1"/>
  <c r="Q10" i="3"/>
  <c r="T10" i="3" s="1"/>
  <c r="Q9" i="3"/>
  <c r="T9" i="3" s="1"/>
  <c r="Q8" i="3"/>
  <c r="Q7" i="3"/>
  <c r="T7" i="3" s="1"/>
  <c r="T48" i="3" l="1"/>
  <c r="T47" i="3"/>
  <c r="T46" i="3"/>
  <c r="T49" i="3"/>
  <c r="E24" i="16"/>
  <c r="D7" i="16"/>
  <c r="D14" i="16"/>
  <c r="E6" i="16"/>
  <c r="E8" i="16"/>
  <c r="D24" i="16"/>
  <c r="E18" i="16"/>
  <c r="E15" i="16"/>
  <c r="D8" i="16"/>
  <c r="D23" i="16"/>
  <c r="D18" i="16"/>
  <c r="E23" i="16"/>
  <c r="D16" i="16"/>
  <c r="E16" i="16"/>
  <c r="E14" i="16"/>
  <c r="D6" i="16"/>
  <c r="D15" i="16"/>
</calcChain>
</file>

<file path=xl/comments1.xml><?xml version="1.0" encoding="utf-8"?>
<comments xmlns="http://schemas.openxmlformats.org/spreadsheetml/2006/main">
  <authors>
    <author>Gatz, Ellen/NWO</author>
  </authors>
  <commentList>
    <comment ref="A62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define</t>
        </r>
      </text>
    </comment>
  </commentList>
</comments>
</file>

<file path=xl/sharedStrings.xml><?xml version="1.0" encoding="utf-8"?>
<sst xmlns="http://schemas.openxmlformats.org/spreadsheetml/2006/main" count="5117" uniqueCount="631">
  <si>
    <t>Faro Mine Remediation Project</t>
  </si>
  <si>
    <t>Sample ID</t>
  </si>
  <si>
    <t>Sample Date</t>
  </si>
  <si>
    <t>Unit</t>
  </si>
  <si>
    <t>Aluminum</t>
  </si>
  <si>
    <t>-</t>
  </si>
  <si>
    <t>Calcium</t>
  </si>
  <si>
    <t>Iron</t>
  </si>
  <si>
    <t>Lithium</t>
  </si>
  <si>
    <t>Magnesium</t>
  </si>
  <si>
    <t>Manganese</t>
  </si>
  <si>
    <t>Mercury</t>
  </si>
  <si>
    <t>Nickel</t>
  </si>
  <si>
    <t>Phosphorus</t>
  </si>
  <si>
    <t>Potassium</t>
  </si>
  <si>
    <t>Selenium</t>
  </si>
  <si>
    <t>Strontium</t>
  </si>
  <si>
    <t>Titanium</t>
  </si>
  <si>
    <t>RCTA</t>
  </si>
  <si>
    <t>CH13-204-MW016C-SOA</t>
  </si>
  <si>
    <t>CH13-204-MW916C-SOA</t>
  </si>
  <si>
    <t>CH13-204-MW016E-SOA</t>
  </si>
  <si>
    <t>CH13-204-MW016E-SOB</t>
  </si>
  <si>
    <t>CH13-204-MW016E-SOC</t>
  </si>
  <si>
    <t>CH13-204-MW016E-SOD</t>
  </si>
  <si>
    <t>CH13-204-MW016E-SOE</t>
  </si>
  <si>
    <t>CH13-204-MW016E-SOF</t>
  </si>
  <si>
    <t>CH13-204-MW016E-SOG</t>
  </si>
  <si>
    <t>CH13-204-MW016E-SOH</t>
  </si>
  <si>
    <t>CH13-204-MW016E-SOI</t>
  </si>
  <si>
    <t>CH13-204-MW016E-SOJ</t>
  </si>
  <si>
    <t>CH13-204-MW016E-SOK</t>
  </si>
  <si>
    <t>CH14-015-MW001A-SOA</t>
  </si>
  <si>
    <t>CH14-015-MW901A-SOA</t>
  </si>
  <si>
    <t>CH14-015-MW001C-SOA</t>
  </si>
  <si>
    <t>CH14-015-MW001C-SOF</t>
  </si>
  <si>
    <t>CH14-015-MW001C-SOG</t>
  </si>
  <si>
    <t>CH14-015-MW001C-SOH</t>
  </si>
  <si>
    <t>CH14-015-MW001C-SOI</t>
  </si>
  <si>
    <t>CH14-015-MW001C-SOJ</t>
  </si>
  <si>
    <t>CH14-015-MW001C-SOK</t>
  </si>
  <si>
    <t>CH14-201-TH001-SOF</t>
  </si>
  <si>
    <t>CH14-201-TH001-SOG</t>
  </si>
  <si>
    <t>CH14-201-TH001-SOJ</t>
  </si>
  <si>
    <t>CH14-201-TH002-SOB</t>
  </si>
  <si>
    <t>CH14-201-TH002-SOH</t>
  </si>
  <si>
    <t>CH14-201-TH002-SOJ</t>
  </si>
  <si>
    <t>CH14-201-TH002-SOM</t>
  </si>
  <si>
    <t>CH14-201-TH002-SON</t>
  </si>
  <si>
    <t>CH14-201-TH002-SOP</t>
  </si>
  <si>
    <t>CH14-201-TH002-SOP-B</t>
  </si>
  <si>
    <t>CH14-201-TH003-SOD-B</t>
  </si>
  <si>
    <t>CH14-201-TH004-SOE</t>
  </si>
  <si>
    <t>CH14-201-TH004-SOF</t>
  </si>
  <si>
    <t>CH14-201-TH006-SOA</t>
  </si>
  <si>
    <t>CH14-201-TH006-SOE</t>
  </si>
  <si>
    <t>CH15-201-MW010_SOh</t>
  </si>
  <si>
    <t>CH15-201-MW010_SOn</t>
  </si>
  <si>
    <t>CH15-201-MW010_SOw</t>
  </si>
  <si>
    <t>CH15-201-MW910_SOw</t>
  </si>
  <si>
    <t>J</t>
  </si>
  <si>
    <t>UJ</t>
  </si>
  <si>
    <t>U</t>
  </si>
  <si>
    <t>NT</t>
  </si>
  <si>
    <t>Notes:</t>
  </si>
  <si>
    <t>Laboratory data has been validated by CH2M HILL prior to importing to EquIS. This summary table has been through QA/QC.</t>
  </si>
  <si>
    <t>mbgs = metre below ground surface</t>
  </si>
  <si>
    <t>mg/kg = milligram per kilogram</t>
  </si>
  <si>
    <t>NT = not tested</t>
  </si>
  <si>
    <t>QA/QC = Quality Assurance and Quality Control</t>
  </si>
  <si>
    <t>Reclamation Unit</t>
  </si>
  <si>
    <t>Depth From 
(mbgs)</t>
  </si>
  <si>
    <t>Depth To 
(mbgs)</t>
  </si>
  <si>
    <t>Paste pH</t>
  </si>
  <si>
    <t>Acid Potential</t>
  </si>
  <si>
    <t>Neutralization Potential</t>
  </si>
  <si>
    <t>Barium, LMB</t>
  </si>
  <si>
    <t>Sulphate, Acid Soluble</t>
  </si>
  <si>
    <t>Total Sulphur</t>
  </si>
  <si>
    <t>Neutralization Potential 
(as CaO Eq.)</t>
  </si>
  <si>
    <t>Result 
(pH Units)</t>
  </si>
  <si>
    <t>Result 
Qualifier</t>
  </si>
  <si>
    <t>Result
(ppm)</t>
  </si>
  <si>
    <t>Result
(percent)</t>
  </si>
  <si>
    <t>Result
(mg/kg)</t>
  </si>
  <si>
    <t xml:space="preserve">  </t>
  </si>
  <si>
    <t>NC</t>
  </si>
  <si>
    <t>CH14-015-MW002A-SOB</t>
  </si>
  <si>
    <t>CH14-015-MW002A-SOD</t>
  </si>
  <si>
    <t>Analytical results for neutralization potential by the AOAC 955.01 and MOD-SOBEK-3.2.3 methods are reported; results by the MOD-SOBEK-3.2.3 method are indicated using "*".</t>
  </si>
  <si>
    <t xml:space="preserve">AOAC 955.01 is the preferred analytical method for neutralization potential; however, MOD-SOBEK-3.2.3 was applied to some samples collected in 2012 due to miscommunication. </t>
  </si>
  <si>
    <t>Analytical results by the AOAC 955.01 method should be considered in future analysis and decision-making process.</t>
  </si>
  <si>
    <t>Calculated values of acid potential (AP) presented italics were calculated based on total sulphur content, and represent conservative estimates of the acid generation potential</t>
  </si>
  <si>
    <t>CaO = calcium oxide</t>
  </si>
  <si>
    <t>J = Analyte was present but the reported value may not be accurate or precise.</t>
  </si>
  <si>
    <t>kg = kilogram</t>
  </si>
  <si>
    <t>NC = not calculated</t>
  </si>
  <si>
    <t xml:space="preserve">NP/AP = nuetralization potential divided by acid potential </t>
  </si>
  <si>
    <t>ppm = parts per million</t>
  </si>
  <si>
    <t>U = This analyte was analyzed for but not detected at the specified detection limit.</t>
  </si>
  <si>
    <r>
      <t>Acid Potential 
(as CaCO</t>
    </r>
    <r>
      <rPr>
        <b/>
        <vertAlign val="subscript"/>
        <sz val="9"/>
        <color theme="1"/>
        <rFont val="Calibri"/>
        <family val="2"/>
        <scheme val="minor"/>
      </rPr>
      <t xml:space="preserve">3 </t>
    </r>
    <r>
      <rPr>
        <b/>
        <sz val="9"/>
        <color theme="1"/>
        <rFont val="Calibri"/>
        <family val="2"/>
        <scheme val="minor"/>
      </rPr>
      <t>Eq.)</t>
    </r>
  </si>
  <si>
    <r>
      <t>Neutralization Potential 
(as CaCO</t>
    </r>
    <r>
      <rPr>
        <b/>
        <vertAlign val="sub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 xml:space="preserve"> Eq.)</t>
    </r>
  </si>
  <si>
    <r>
      <t>Calculated Result 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</si>
  <si>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r>
      <t>CaCO</t>
    </r>
    <r>
      <rPr>
        <vertAlign val="sub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= calcium carbonate</t>
    </r>
  </si>
  <si>
    <t>Table 5-2. Acid Base Accounting Results (2012-2015): Faro Mine Complex</t>
  </si>
  <si>
    <r>
      <t>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
tonne)</t>
    </r>
  </si>
  <si>
    <t>RCTA = Rose Creek Tailings Area</t>
  </si>
  <si>
    <t>Neutralization Potential Ratio (NP/AP)</t>
  </si>
  <si>
    <t>UTM = Universal Transverse Mercator</t>
  </si>
  <si>
    <t>NAD = North American Datum</t>
  </si>
  <si>
    <t>mbTOC = metre below top of casing</t>
  </si>
  <si>
    <t>masl = metre above sea level</t>
  </si>
  <si>
    <t>m = metre</t>
  </si>
  <si>
    <t>CSRS = Canadian Spatial Reference System</t>
  </si>
  <si>
    <t>Coordinates and Elevations are from a field survey by Challenger Geomatics Ltd., performed on March 23, 2016.</t>
  </si>
  <si>
    <t>CVGD28 = Canadian Vertical Geodetic Datum of 1928</t>
  </si>
  <si>
    <t>mbgs = metres below ground surface</t>
  </si>
  <si>
    <t>LMB = lithium metaborate</t>
  </si>
  <si>
    <t>Figures</t>
  </si>
  <si>
    <t>Title</t>
  </si>
  <si>
    <t>Source</t>
  </si>
  <si>
    <t>Tables</t>
  </si>
  <si>
    <t>GIS</t>
  </si>
  <si>
    <t>Faro Creek Valley</t>
  </si>
  <si>
    <t>Note</t>
  </si>
  <si>
    <t>include well clusters 1, 2 and 3</t>
  </si>
  <si>
    <t>Cluster 1</t>
  </si>
  <si>
    <t>CH15-106-MW007</t>
  </si>
  <si>
    <t>Step 1</t>
  </si>
  <si>
    <t>Step 2</t>
  </si>
  <si>
    <t>Drawdown (m)</t>
  </si>
  <si>
    <t>Specific Capacity (L/s per m)</t>
  </si>
  <si>
    <t>Step 3</t>
  </si>
  <si>
    <t>Step 4</t>
  </si>
  <si>
    <t>CH15-106-MW002</t>
  </si>
  <si>
    <t>Cluster 2</t>
  </si>
  <si>
    <t>CH15-106-MW008</t>
  </si>
  <si>
    <t>6.1 to 9.14</t>
  </si>
  <si>
    <t>CH15-106-MW004</t>
  </si>
  <si>
    <t>CH15-106-MW003</t>
  </si>
  <si>
    <t>Insufficient depth of water for pumping</t>
  </si>
  <si>
    <t>Cluster 3</t>
  </si>
  <si>
    <t>CH15-106-MW006</t>
  </si>
  <si>
    <t>Location ID</t>
  </si>
  <si>
    <t>X</t>
  </si>
  <si>
    <t>Y</t>
  </si>
  <si>
    <t>Well Inner Diameter(mm)</t>
  </si>
  <si>
    <t>Borehole Inner Diameter(mm)</t>
  </si>
  <si>
    <t>Top of Casing 
Elevation      (m asl)</t>
  </si>
  <si>
    <t>Top of Screen          (m bgs)</t>
  </si>
  <si>
    <t>Bottom of Screen          (m bgs)</t>
  </si>
  <si>
    <t>Stickup (m)</t>
  </si>
  <si>
    <t>Measured Depth to Water (mbtoc)</t>
  </si>
  <si>
    <t>Screened Formation</t>
  </si>
  <si>
    <t>Aquifer Test Activity</t>
  </si>
  <si>
    <t>CH15-106-MW001</t>
  </si>
  <si>
    <t>Bedrock</t>
  </si>
  <si>
    <t>Monitoring well for CH15-106-MW007 pump test.</t>
  </si>
  <si>
    <t>Alluvium (Sand and Gravel)</t>
  </si>
  <si>
    <t>Alluvium (Sand with Gravel and Silt)</t>
  </si>
  <si>
    <t>Monitoring well for CH15-106-MW008 pump test.</t>
  </si>
  <si>
    <t>Sandy Silt</t>
  </si>
  <si>
    <t>CH15-106-MW005</t>
  </si>
  <si>
    <t>Alluvium (Gravel with Sand)</t>
  </si>
  <si>
    <t>Monitoring well for CH15-106-MW006 pump test.</t>
  </si>
  <si>
    <t>Pumping Well</t>
  </si>
  <si>
    <t>Alluvium (Sand with Gravel)</t>
  </si>
  <si>
    <t>CH15-106-MW010</t>
  </si>
  <si>
    <t>CH16-106-SG001</t>
  </si>
  <si>
    <t>Stream stage monitored during CH15-106-MW007 pump test.</t>
  </si>
  <si>
    <t>CH16-106-SG002</t>
  </si>
  <si>
    <t>Stream stage monitored during CH15-106-MW008 pump test.</t>
  </si>
  <si>
    <t>FCD-1</t>
  </si>
  <si>
    <t>Stream stage monitored during CH15-106-MW006 pump test.</t>
  </si>
  <si>
    <t xml:space="preserve"> &gt; 29.1</t>
  </si>
  <si>
    <t>&gt; 14.9</t>
  </si>
  <si>
    <t>&gt; 6.5</t>
  </si>
  <si>
    <t>&gt; 6.25</t>
  </si>
  <si>
    <t>&gt; 10.5</t>
  </si>
  <si>
    <t>Location</t>
  </si>
  <si>
    <t>Hydraulic Conductivity (m/d)</t>
  </si>
  <si>
    <t>Storativity</t>
  </si>
  <si>
    <t>Well Cluster 1</t>
  </si>
  <si>
    <t>Role</t>
  </si>
  <si>
    <t>Pumping well, Observation Well</t>
  </si>
  <si>
    <t xml:space="preserve">Pumping well  </t>
  </si>
  <si>
    <t>Observation well</t>
  </si>
  <si>
    <t>Observation Well</t>
  </si>
  <si>
    <t>Date/Time</t>
  </si>
  <si>
    <t>Measuring Point Elevation (m)</t>
  </si>
  <si>
    <t>Top of Casing (m)</t>
  </si>
  <si>
    <t>Groundwater Elevation (m)</t>
  </si>
  <si>
    <t>Manual Groundwater Elevation Measurements</t>
  </si>
  <si>
    <t>Groundwater Elevations at Well Clusters</t>
  </si>
  <si>
    <t>excel/ppt</t>
  </si>
  <si>
    <t>Aquifer Test Pumping Rates and Drawdown</t>
  </si>
  <si>
    <t>Lithology at Screened Interval</t>
  </si>
  <si>
    <t>Test</t>
  </si>
  <si>
    <t>GWE</t>
  </si>
  <si>
    <t>TX</t>
  </si>
  <si>
    <t>BX</t>
  </si>
  <si>
    <t>m water above TX</t>
  </si>
  <si>
    <t>Hydraulic Conductivity</t>
  </si>
  <si>
    <t>Pumping Rates (L/s)</t>
  </si>
  <si>
    <t>Pumping Duration (minutes)</t>
  </si>
  <si>
    <t>Represented  Zone</t>
  </si>
  <si>
    <t>Saturated Interval above screen</t>
  </si>
  <si>
    <t>Lithology</t>
  </si>
  <si>
    <t>Silty Gravel With Sand</t>
  </si>
  <si>
    <t>Upper portion of screened interval</t>
  </si>
  <si>
    <t>Lower portion of screened interval</t>
  </si>
  <si>
    <t>1 m zone below screen interval</t>
  </si>
  <si>
    <t>MLU Model Layer</t>
  </si>
  <si>
    <t>Screened Interval</t>
  </si>
  <si>
    <t>1. For Well Cluster 1, the model lithology represents conditions at CH15-106-MW002 only.</t>
  </si>
  <si>
    <t>Silty Sand</t>
  </si>
  <si>
    <t>Well</t>
  </si>
  <si>
    <t>Well Cluster 3</t>
  </si>
  <si>
    <t>Thickness (m)</t>
  </si>
  <si>
    <t>Insufficient capacity for testing</t>
  </si>
  <si>
    <t>Station</t>
  </si>
  <si>
    <t>Position (m)</t>
  </si>
  <si>
    <t>Depth (ft)</t>
  </si>
  <si>
    <t>Depth (m)</t>
  </si>
  <si>
    <t>Velocity (m/s)</t>
  </si>
  <si>
    <t>edge</t>
  </si>
  <si>
    <t>L/s</t>
  </si>
  <si>
    <t>gpm</t>
  </si>
  <si>
    <t>cfs</t>
  </si>
  <si>
    <t>Total</t>
  </si>
  <si>
    <t>Series 1</t>
  </si>
  <si>
    <t>Series 2</t>
  </si>
  <si>
    <t>Totals</t>
  </si>
  <si>
    <t>Duplicate of Series 1</t>
  </si>
  <si>
    <t>Average</t>
  </si>
  <si>
    <t>Range</t>
  </si>
  <si>
    <t>Uncertainty in the mean</t>
  </si>
  <si>
    <t>=</t>
  </si>
  <si>
    <t>uncertainty in a measurement</t>
  </si>
  <si>
    <t>.</t>
  </si>
  <si>
    <t>stdev</t>
  </si>
  <si>
    <t>Note: Q = Discharge</t>
  </si>
  <si>
    <t>Measurement</t>
  </si>
  <si>
    <t>Width</t>
  </si>
  <si>
    <t>Depth</t>
  </si>
  <si>
    <t>Trial</t>
  </si>
  <si>
    <t>Discharge  (L/s)</t>
  </si>
  <si>
    <t>Totals:</t>
  </si>
  <si>
    <t>Averages:</t>
  </si>
  <si>
    <t>Table 2. Aquifer Test Pumping Rates</t>
  </si>
  <si>
    <t>Date</t>
  </si>
  <si>
    <t>#1</t>
  </si>
  <si>
    <t>#2</t>
  </si>
  <si>
    <t>#3</t>
  </si>
  <si>
    <t>#4</t>
  </si>
  <si>
    <t>L/m</t>
  </si>
  <si>
    <t>m3/d</t>
  </si>
  <si>
    <t>Pumping Rate (L/s)</t>
  </si>
  <si>
    <t>CH15-106-MW006 Step Test</t>
  </si>
  <si>
    <t>CH15-106-MW008 Step Test</t>
  </si>
  <si>
    <t>CH15-106-MW006 Constant Rate #1 (pump fails)</t>
  </si>
  <si>
    <t>CH15-106-MW002 Step Test</t>
  </si>
  <si>
    <t>CH15-106-MW004 Step Test</t>
  </si>
  <si>
    <t>CH15-106-MW006 Constant Rate #2</t>
  </si>
  <si>
    <t>CH15-106-MW002 Constant Rate Test</t>
  </si>
  <si>
    <t>CH15-106-MW008 Groundwater Sampling</t>
  </si>
  <si>
    <t>Average per Step or Test  (L/s)</t>
  </si>
  <si>
    <t>Discharge Measurements</t>
  </si>
  <si>
    <t>Table 1. Depth to Water Measurements and Groundwater Elevations</t>
  </si>
  <si>
    <t>Table 3. Aquifer Test Pumping Rates</t>
  </si>
  <si>
    <t>&gt; 6.10</t>
  </si>
  <si>
    <t>FCD-1 Discharge</t>
  </si>
  <si>
    <t>FCD-2 Discharge</t>
  </si>
  <si>
    <t>Seep Discharge</t>
  </si>
  <si>
    <t>Other discharge</t>
  </si>
  <si>
    <t>Model results</t>
  </si>
  <si>
    <t>Discharge locations</t>
  </si>
  <si>
    <t>GW map</t>
  </si>
  <si>
    <t>East Bank Seeps</t>
  </si>
  <si>
    <t xml:space="preserve">FCO </t>
  </si>
  <si>
    <t>Width of Water (cm)</t>
  </si>
  <si>
    <t>Discharge Coefficient</t>
  </si>
  <si>
    <t>Head Correction Factor</t>
  </si>
  <si>
    <t>FCD-2A</t>
  </si>
  <si>
    <t>FCD-2</t>
  </si>
  <si>
    <t>Standard Error</t>
  </si>
  <si>
    <t>Average Depth (ft)</t>
  </si>
  <si>
    <t>Total Error</t>
  </si>
  <si>
    <t>3. The standard error (%) is computed as:  the square root of 1+(10/2*depth)^2), with depth in feet, from Sauer and Meyer, 1992.</t>
  </si>
  <si>
    <t>Series 1 Duplicate Discharge  (L/s)</t>
  </si>
  <si>
    <t>--</t>
  </si>
  <si>
    <t>Discharge on FCD</t>
  </si>
  <si>
    <t>Aquifer Test Results, Cluster 1</t>
  </si>
  <si>
    <t>Aquifer Test Results, Cluster 2</t>
  </si>
  <si>
    <t>Groundwater Flux estimates</t>
  </si>
  <si>
    <t>West Side</t>
  </si>
  <si>
    <t>Depth to Water (m)</t>
  </si>
  <si>
    <t>Gradient</t>
  </si>
  <si>
    <t>delta H</t>
  </si>
  <si>
    <t>distance</t>
  </si>
  <si>
    <t>K</t>
  </si>
  <si>
    <t>Q (m3/d)</t>
  </si>
  <si>
    <t>L/d</t>
  </si>
  <si>
    <t>Note:</t>
  </si>
  <si>
    <t>General Location</t>
  </si>
  <si>
    <t>Field Parameter</t>
  </si>
  <si>
    <t>Conductivity</t>
  </si>
  <si>
    <t>mS/cm</t>
  </si>
  <si>
    <t>Dissolved Oxygen</t>
  </si>
  <si>
    <t>mg/l</t>
  </si>
  <si>
    <t>Oxidation Reduction Potential</t>
  </si>
  <si>
    <t>mV</t>
  </si>
  <si>
    <t>pH</t>
  </si>
  <si>
    <t>pH UNITS</t>
  </si>
  <si>
    <t>Temperature</t>
  </si>
  <si>
    <t>deg c</t>
  </si>
  <si>
    <t>Turbidity</t>
  </si>
  <si>
    <t>NTU</t>
  </si>
  <si>
    <t>CH15-106MW008</t>
  </si>
  <si>
    <t>Field Parameters</t>
  </si>
  <si>
    <t>Water Quality Results</t>
  </si>
  <si>
    <t>Discharge Summary</t>
  </si>
  <si>
    <t>Analyses ID</t>
  </si>
  <si>
    <t>Units</t>
  </si>
  <si>
    <t>Screening Level</t>
  </si>
  <si>
    <t>General Chemistry</t>
  </si>
  <si>
    <t>pH, Field</t>
  </si>
  <si>
    <t>6.5 - 9.0</t>
  </si>
  <si>
    <t>Temperature, Field</t>
  </si>
  <si>
    <t>Hardness (as CaCO3)</t>
  </si>
  <si>
    <t>Total Suspended Solids</t>
  </si>
  <si>
    <t>Total Dissolved Solids</t>
  </si>
  <si>
    <t>Anions and Nutrients</t>
  </si>
  <si>
    <t>Acidity, Hot Peroxide</t>
  </si>
  <si>
    <t>Alkalinity, Bicarbonate (as CaCO3)</t>
  </si>
  <si>
    <t>Alkalinity, Carbonate (as CaCO3)</t>
  </si>
  <si>
    <t>Alkalinity, Hydroxide (as CaCO3)</t>
  </si>
  <si>
    <t>Alkalinity, Total (as CaCO3)</t>
  </si>
  <si>
    <t>Ammonia</t>
  </si>
  <si>
    <t>Chloride (Cl)</t>
  </si>
  <si>
    <t>Fluoride</t>
  </si>
  <si>
    <t>Nitrate (as N)</t>
  </si>
  <si>
    <t>Nitrite (as N)</t>
  </si>
  <si>
    <t>Sulfate</t>
  </si>
  <si>
    <t>Carbon, Dissolved Organic (DOC)</t>
  </si>
  <si>
    <t>Free Cyanide</t>
  </si>
  <si>
    <t>Dissolved Metals</t>
  </si>
  <si>
    <t>Antimony (Sb)</t>
  </si>
  <si>
    <t>Arsenic (As)</t>
  </si>
  <si>
    <t>Barium (Ba)</t>
  </si>
  <si>
    <t>Beryllium (Be)</t>
  </si>
  <si>
    <t>Boron (B)</t>
  </si>
  <si>
    <t>Cadmium (Cd)</t>
  </si>
  <si>
    <t>Chromium (Cr)</t>
  </si>
  <si>
    <t>Cobalt (Co)</t>
  </si>
  <si>
    <t>Copper (Cu)</t>
  </si>
  <si>
    <t>Ferrous Iron</t>
  </si>
  <si>
    <t>Lead (Pb)</t>
  </si>
  <si>
    <t>Molybdenum (Mo)</t>
  </si>
  <si>
    <t>Silica</t>
  </si>
  <si>
    <t>Silicon</t>
  </si>
  <si>
    <t xml:space="preserve">Silver </t>
  </si>
  <si>
    <t xml:space="preserve">Sodium </t>
  </si>
  <si>
    <t>Sulfur</t>
  </si>
  <si>
    <t xml:space="preserve">Thallium </t>
  </si>
  <si>
    <t xml:space="preserve">Uranium </t>
  </si>
  <si>
    <t xml:space="preserve">Vanadium </t>
  </si>
  <si>
    <t xml:space="preserve">Zinc </t>
  </si>
  <si>
    <t>ALS Laboratory Report ID: L1778682-1</t>
  </si>
  <si>
    <t xml:space="preserve"> </t>
  </si>
  <si>
    <t>pH reported is the field parameter value.</t>
  </si>
  <si>
    <t>R =  Result has been rejected for use.</t>
  </si>
  <si>
    <t>NTU =  nephelometric turbidity unit</t>
  </si>
  <si>
    <t>U = Analyte was analyzed for but not detected at the specified detection limit.</t>
  </si>
  <si>
    <t>UJ = Analyte was not detected above the detection limit; however, the reported detection limit is approximate and may not represent the actual limit of quantitation necessary to accurately and precisely measure the analyte in the sample.</t>
  </si>
  <si>
    <t>CCME = Canadian Council of the Ministers of the Environment</t>
  </si>
  <si>
    <t xml:space="preserve">CWQG = Canadian Environmental Quality Guidelines </t>
  </si>
  <si>
    <t>µg/L = micrograms per litre</t>
  </si>
  <si>
    <t xml:space="preserve">FIGQG = Federal Interim Groundwater Quality Guidelines </t>
  </si>
  <si>
    <t>FACILITY_ID</t>
  </si>
  <si>
    <t>FACILITY_CODE</t>
  </si>
  <si>
    <t>SYS_LOC_CODE</t>
  </si>
  <si>
    <t>LOC_NAME</t>
  </si>
  <si>
    <t>SAMPLEDATE</t>
  </si>
  <si>
    <t>START_DEPTH</t>
  </si>
  <si>
    <t>END_DEPTH</t>
  </si>
  <si>
    <t>DEPTH_UNIT</t>
  </si>
  <si>
    <t>MATRIX_CODE</t>
  </si>
  <si>
    <t>FRACTION</t>
  </si>
  <si>
    <t>PREP_METHOD</t>
  </si>
  <si>
    <t>LAB_SDG</t>
  </si>
  <si>
    <t>TEST_ID</t>
  </si>
  <si>
    <t>CAS_RN</t>
  </si>
  <si>
    <t>CHEMICAL_NAME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</si>
  <si>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</si>
  <si>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</si>
  <si>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</si>
  <si>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</si>
  <si>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</si>
  <si>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</si>
  <si>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</si>
  <si>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</si>
  <si>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</si>
  <si>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</si>
  <si>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</si>
  <si>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</si>
  <si>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</si>
  <si>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</si>
  <si>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</si>
  <si>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</si>
  <si>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</si>
  <si>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</si>
  <si>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</si>
  <si>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</si>
  <si>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</si>
  <si>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</si>
  <si>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FAROMINE</t>
  </si>
  <si>
    <t>m</t>
  </si>
  <si>
    <t>WG</t>
  </si>
  <si>
    <t>T</t>
  </si>
  <si>
    <t>NONE</t>
  </si>
  <si>
    <t>L1778682</t>
  </si>
  <si>
    <t>TDS</t>
  </si>
  <si>
    <t>Total dissolved solids</t>
  </si>
  <si>
    <t>TRG</t>
  </si>
  <si>
    <t>L1780437</t>
  </si>
  <si>
    <t>N</t>
  </si>
  <si>
    <t>CONDF</t>
  </si>
  <si>
    <t>Conductivity, Field</t>
  </si>
  <si>
    <t>DOXF</t>
  </si>
  <si>
    <t>Dissolved Oxygen, Field</t>
  </si>
  <si>
    <t>ORPF</t>
  </si>
  <si>
    <t>Oxidation Reduction Potential, Field</t>
  </si>
  <si>
    <t>PHF</t>
  </si>
  <si>
    <t>TEMPF</t>
  </si>
  <si>
    <t>TURBF</t>
  </si>
  <si>
    <t>Turbidity, Field</t>
  </si>
  <si>
    <t>METHOD</t>
  </si>
  <si>
    <t>7439-97-6_D</t>
  </si>
  <si>
    <t>Mercury, dissolved</t>
  </si>
  <si>
    <t>15438-31-0_D</t>
  </si>
  <si>
    <t>Ferrous Iron, dissolved</t>
  </si>
  <si>
    <t>7664-41-7</t>
  </si>
  <si>
    <t>ACID_HP</t>
  </si>
  <si>
    <t>Acidity, hot peroxide</t>
  </si>
  <si>
    <t>ALK</t>
  </si>
  <si>
    <t>ALKB</t>
  </si>
  <si>
    <t>ALKC</t>
  </si>
  <si>
    <t>ALKH</t>
  </si>
  <si>
    <t>HARD</t>
  </si>
  <si>
    <t>TSS</t>
  </si>
  <si>
    <t>14797-55-8</t>
  </si>
  <si>
    <t>14797-65-0</t>
  </si>
  <si>
    <t>14808-79-8</t>
  </si>
  <si>
    <t>16887-00-6</t>
  </si>
  <si>
    <t>16984-48-8</t>
  </si>
  <si>
    <t>7723-14-0</t>
  </si>
  <si>
    <t>DOC</t>
  </si>
  <si>
    <t>Carbon, dissolved organic (DOC)</t>
  </si>
  <si>
    <t>7439-89-6_D</t>
  </si>
  <si>
    <t>Iron, dissolved</t>
  </si>
  <si>
    <t>7439-95-4_D</t>
  </si>
  <si>
    <t>Magnesium, dissolved</t>
  </si>
  <si>
    <t>7440-21-3_D</t>
  </si>
  <si>
    <t>Silicon, dissolved</t>
  </si>
  <si>
    <t>7440-70-2_D</t>
  </si>
  <si>
    <t>Calcium, dissolved</t>
  </si>
  <si>
    <t>7704-34-9_D</t>
  </si>
  <si>
    <t>Sulfur, dissolved</t>
  </si>
  <si>
    <t>7723-14-0_D</t>
  </si>
  <si>
    <t>Phosphorus, dissolved</t>
  </si>
  <si>
    <t>7631-86-9_D</t>
  </si>
  <si>
    <t>Silica, Dissolved</t>
  </si>
  <si>
    <t>7429-90-5_D</t>
  </si>
  <si>
    <t>Aluminum, dissolved</t>
  </si>
  <si>
    <t>7439-92-1_D</t>
  </si>
  <si>
    <t>Lead (Pb)-Dissolved</t>
  </si>
  <si>
    <t>7439-96-5_D</t>
  </si>
  <si>
    <t>Manganese, dissolved</t>
  </si>
  <si>
    <t>7439-98-7_D</t>
  </si>
  <si>
    <t>Molybdenum (Mo)-Dissolved</t>
  </si>
  <si>
    <t>7440-02-0_D</t>
  </si>
  <si>
    <t>Nickel (Ni)-Dissolved</t>
  </si>
  <si>
    <t>7440-22-4_D</t>
  </si>
  <si>
    <t>Silver (Ag)-Dissolved</t>
  </si>
  <si>
    <t>7440-23-5_D</t>
  </si>
  <si>
    <t>Sodium (Na)-Dissolved</t>
  </si>
  <si>
    <t>7440-24-6_D</t>
  </si>
  <si>
    <t>Strontium, dissolved</t>
  </si>
  <si>
    <t>7440-28-0_D</t>
  </si>
  <si>
    <t>Thallium (Tl)-Dissolved</t>
  </si>
  <si>
    <t>7440-32-6_D</t>
  </si>
  <si>
    <t>Titanium, dissolved</t>
  </si>
  <si>
    <t>7440-36-0_D</t>
  </si>
  <si>
    <t>Antimony (Sb)-Dissolved</t>
  </si>
  <si>
    <t>7440-39-3_D</t>
  </si>
  <si>
    <t>Barium (Ba)-Dissolved</t>
  </si>
  <si>
    <t>7440-41-7_D</t>
  </si>
  <si>
    <t>Beryllium (Be)-Dissolved</t>
  </si>
  <si>
    <t>7440-42-8_D</t>
  </si>
  <si>
    <t>Boron (B)-Dissolved</t>
  </si>
  <si>
    <t>7440-43-9_D</t>
  </si>
  <si>
    <t>Cadmium (Cd)-Dissolved</t>
  </si>
  <si>
    <t>7440-47-3_D</t>
  </si>
  <si>
    <t>Chromium (Cr)-Dissolved</t>
  </si>
  <si>
    <t>7440-48-4_D</t>
  </si>
  <si>
    <t>Cobalt (Co)-Dissolved</t>
  </si>
  <si>
    <t>7440-50-8_D</t>
  </si>
  <si>
    <t>Copper (Cu)-Dissolved</t>
  </si>
  <si>
    <t>7440-61-1_D</t>
  </si>
  <si>
    <t>Uranium (U)-Dissolved</t>
  </si>
  <si>
    <t>7440-62-2_D</t>
  </si>
  <si>
    <t>Vanadium (V)-Dissolved</t>
  </si>
  <si>
    <t>7440-66-6_D</t>
  </si>
  <si>
    <t>Zinc (Zn)-Dissolved</t>
  </si>
  <si>
    <t>7782-49-2_D</t>
  </si>
  <si>
    <t>Selenium (Se)-Dissolved</t>
  </si>
  <si>
    <t>7439-93-2_D</t>
  </si>
  <si>
    <t>Lithium, dissolved</t>
  </si>
  <si>
    <t>7440-09-7_D</t>
  </si>
  <si>
    <t>Potassium, dissolved</t>
  </si>
  <si>
    <t>7440-38-2_D</t>
  </si>
  <si>
    <t>Arsenic (As)-Dissolved</t>
  </si>
  <si>
    <t>Lookup</t>
  </si>
  <si>
    <t>Checlk</t>
  </si>
  <si>
    <t>QC check</t>
  </si>
  <si>
    <t>3 over 1</t>
  </si>
  <si>
    <t>2 over 3</t>
  </si>
  <si>
    <t>2 over 1</t>
  </si>
  <si>
    <t>West Valley Interceptor Ditch near CH15-106-MW010</t>
  </si>
  <si>
    <t>West Valley Interceptor Ditch, Upstream of Tributary</t>
  </si>
  <si>
    <t>West Valley Interceptor Ditch, Downstream of Tributary</t>
  </si>
  <si>
    <t>Faro Creek Main Source</t>
  </si>
  <si>
    <t>Western Ditch</t>
  </si>
  <si>
    <t>West Valley Interceptor Ditch</t>
  </si>
  <si>
    <t>L/s = litre per second</t>
  </si>
  <si>
    <t>Total Depth       (mbgs)</t>
  </si>
  <si>
    <t>Screen Interval (mbgs)</t>
  </si>
  <si>
    <t>Depth to Bedrock (mbgs)</t>
  </si>
  <si>
    <t>Constant-rate Test</t>
  </si>
  <si>
    <t>ft = feet</t>
  </si>
  <si>
    <t>m2 = square metre</t>
  </si>
  <si>
    <t>m3/s = cubic metre per second</t>
  </si>
  <si>
    <t>m/s = cubic metre per second</t>
  </si>
  <si>
    <t>L/s = liltre per second</t>
  </si>
  <si>
    <t>mL/s = millilitre per second</t>
  </si>
  <si>
    <t>mL = millilitre</t>
  </si>
  <si>
    <t>s = second</t>
  </si>
  <si>
    <t>L = litre</t>
  </si>
  <si>
    <t>cm = centimetre</t>
  </si>
  <si>
    <t>West Valley Interceptor Ditch, Near Well Cluster 1</t>
  </si>
  <si>
    <t>mg/L</t>
  </si>
  <si>
    <t>FCD - Faro Creek Diversion</t>
  </si>
  <si>
    <t xml:space="preserve">ID = identification </t>
  </si>
  <si>
    <t>mS/cm = milliSiemen per centimetre</t>
  </si>
  <si>
    <t>mg/L = milligram per litre</t>
  </si>
  <si>
    <t>mV =  millivolt</t>
  </si>
  <si>
    <t>deg c = degrees Celsius</t>
  </si>
  <si>
    <t>FCD = Faro Creek Diversion</t>
  </si>
  <si>
    <t>ID = identification</t>
  </si>
  <si>
    <t>&lt; = less than</t>
  </si>
  <si>
    <t>&gt; = greater than</t>
  </si>
  <si>
    <t>Well-graded Sand with Silt</t>
  </si>
  <si>
    <t>Well-graded Sand with Bedrock Fragments</t>
  </si>
  <si>
    <t>Well-graded Gravel (bedrock)</t>
  </si>
  <si>
    <t>Well-graded Gravel with Sand / Sand with Gravel</t>
  </si>
  <si>
    <t xml:space="preserve">Well-graded Gravel with Sand </t>
  </si>
  <si>
    <t>m/d = metre per day</t>
  </si>
  <si>
    <t>FCD = Faro Creed Diversion</t>
  </si>
  <si>
    <t>Well Cluster 2</t>
  </si>
  <si>
    <t>Well ID</t>
  </si>
  <si>
    <t xml:space="preserve">Well Cluster 1 </t>
  </si>
  <si>
    <t>Table 4. FCD-1 Stream Discharge Data</t>
  </si>
  <si>
    <r>
      <t>Area (m</t>
    </r>
    <r>
      <rPr>
        <b/>
        <vertAlign val="superscript"/>
        <sz val="9"/>
        <color theme="1"/>
        <rFont val="Calibri"/>
        <family val="2"/>
        <scheme val="minor"/>
      </rPr>
      <t>2</t>
    </r>
    <r>
      <rPr>
        <b/>
        <sz val="9"/>
        <color theme="1"/>
        <rFont val="Calibri"/>
        <family val="2"/>
        <scheme val="minor"/>
      </rPr>
      <t>)</t>
    </r>
  </si>
  <si>
    <r>
      <t>Discharge (m</t>
    </r>
    <r>
      <rPr>
        <b/>
        <vertAlign val="super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>/s)</t>
    </r>
  </si>
  <si>
    <t>Depth 
(m)</t>
  </si>
  <si>
    <r>
      <t>Area 
(m</t>
    </r>
    <r>
      <rPr>
        <b/>
        <vertAlign val="superscript"/>
        <sz val="9"/>
        <color theme="1"/>
        <rFont val="Calibri"/>
        <family val="2"/>
        <scheme val="minor"/>
      </rPr>
      <t>2</t>
    </r>
    <r>
      <rPr>
        <b/>
        <sz val="9"/>
        <color theme="1"/>
        <rFont val="Calibri"/>
        <family val="2"/>
        <scheme val="minor"/>
      </rPr>
      <t>)</t>
    </r>
  </si>
  <si>
    <t>Position 
(m)</t>
  </si>
  <si>
    <t>Depth 
(ft)</t>
  </si>
  <si>
    <t>Velocity 
(m/s)</t>
  </si>
  <si>
    <r>
      <t>Discharge 
(m</t>
    </r>
    <r>
      <rPr>
        <b/>
        <vertAlign val="super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>/s)</t>
    </r>
  </si>
  <si>
    <t>Discharge  
(L/s)</t>
  </si>
  <si>
    <t>Notes</t>
  </si>
  <si>
    <t>Table 5. FCD-2 Stream Discharge Data</t>
  </si>
  <si>
    <r>
      <t>m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= square metre</t>
    </r>
  </si>
  <si>
    <r>
      <t>m</t>
    </r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/s = cubic metre per second</t>
    </r>
  </si>
  <si>
    <t>Table 6. FCD-2A Stream Discharge Data</t>
  </si>
  <si>
    <t>Table 7. Seep and Point Source Discharge Data</t>
  </si>
  <si>
    <t>Volume 
(mL)</t>
  </si>
  <si>
    <t>Time 
(s)</t>
  </si>
  <si>
    <t>Discharge 
(mL/s)</t>
  </si>
  <si>
    <t>Average Discharge 
(L/s)</t>
  </si>
  <si>
    <t>Table 8. Upper FCD Discharge Data</t>
  </si>
  <si>
    <t>Discharge 
(L/s)</t>
  </si>
  <si>
    <t>Width 
(m)</t>
  </si>
  <si>
    <t>Distance 
(m)</t>
  </si>
  <si>
    <t>Volume 
(L)</t>
  </si>
  <si>
    <t>Depth of Water 
at Notch (cm)</t>
  </si>
  <si>
    <t>Depth of Water 
at Notch (ft)</t>
  </si>
  <si>
    <t>Discharge  
(cfs)</t>
  </si>
  <si>
    <t>Table 9. Field Parameters</t>
  </si>
  <si>
    <t>Table 10. Analytical Results - General Chemistry, Anions, Nutrients and Dissolved Metals</t>
  </si>
  <si>
    <r>
      <t>Variable</t>
    </r>
    <r>
      <rPr>
        <vertAlign val="superscript"/>
        <sz val="9"/>
        <color theme="1"/>
        <rFont val="Calibri"/>
        <family val="2"/>
        <scheme val="minor"/>
      </rPr>
      <t>a</t>
    </r>
  </si>
  <si>
    <r>
      <t>0.005 to 0.1</t>
    </r>
    <r>
      <rPr>
        <vertAlign val="superscript"/>
        <sz val="9"/>
        <color theme="1"/>
        <rFont val="Calibri"/>
        <family val="2"/>
        <scheme val="minor"/>
      </rPr>
      <t>b</t>
    </r>
  </si>
  <si>
    <r>
      <t>Variable</t>
    </r>
    <r>
      <rPr>
        <vertAlign val="superscript"/>
        <sz val="9"/>
        <color theme="1"/>
        <rFont val="Calibri"/>
        <family val="2"/>
        <scheme val="minor"/>
      </rPr>
      <t>c</t>
    </r>
  </si>
  <si>
    <r>
      <t>0.002 to 0.004</t>
    </r>
    <r>
      <rPr>
        <vertAlign val="superscript"/>
        <sz val="9"/>
        <color theme="1"/>
        <rFont val="Calibri"/>
        <family val="2"/>
        <scheme val="minor"/>
      </rPr>
      <t>d</t>
    </r>
  </si>
  <si>
    <r>
      <t>0.001</t>
    </r>
    <r>
      <rPr>
        <vertAlign val="superscript"/>
        <sz val="9"/>
        <color theme="1"/>
        <rFont val="Calibri"/>
        <family val="2"/>
        <scheme val="minor"/>
      </rPr>
      <t>e</t>
    </r>
  </si>
  <si>
    <r>
      <t>0.025</t>
    </r>
    <r>
      <rPr>
        <vertAlign val="superscript"/>
        <sz val="9"/>
        <color theme="1"/>
        <rFont val="Calibri"/>
        <family val="2"/>
        <scheme val="minor"/>
      </rPr>
      <t>f</t>
    </r>
  </si>
  <si>
    <r>
      <t>0.004 to 0.10</t>
    </r>
    <r>
      <rPr>
        <vertAlign val="superscript"/>
        <sz val="9"/>
        <color theme="1"/>
        <rFont val="Calibri"/>
        <family val="2"/>
        <scheme val="minor"/>
      </rPr>
      <t>g</t>
    </r>
  </si>
  <si>
    <t>Table 11. Aqufier Test Summary</t>
  </si>
  <si>
    <t>Table 12. Upper FCD Discharge Data</t>
  </si>
  <si>
    <t>Series 1 Discharge  
(L/s)</t>
  </si>
  <si>
    <t>Series 2 Discharge  
(L/s)</t>
  </si>
  <si>
    <t>Average 
(L/s)</t>
  </si>
  <si>
    <t>Range 
(L/s)</t>
  </si>
  <si>
    <t>Uncertainty in a Measurement 
(L/s)</t>
  </si>
  <si>
    <t>Uncertainty in the Mean 
(L/s)</t>
  </si>
  <si>
    <t>Standard Error 
(L/s)</t>
  </si>
  <si>
    <t>1. Uncertainty in a measurement computed as the range divided by 2.</t>
  </si>
  <si>
    <t>2. Uncertainty in the mean computed as the uncertainty in a measurment divided by the square root of the number of samples.</t>
  </si>
  <si>
    <t>4. Total error is computed as the uncertainty in the mean plus the standard error.</t>
  </si>
  <si>
    <t>Concentration exceeds Screening Level</t>
  </si>
  <si>
    <t>Time to Fill 1 Litre (s)</t>
  </si>
  <si>
    <r>
      <rPr>
        <vertAlign val="superscript"/>
        <sz val="9"/>
        <color theme="1"/>
        <rFont val="Calibri"/>
        <family val="2"/>
        <scheme val="minor"/>
      </rPr>
      <t>a</t>
    </r>
    <r>
      <rPr>
        <sz val="9"/>
        <color theme="1"/>
        <rFont val="Calibri"/>
        <family val="2"/>
        <scheme val="minor"/>
      </rPr>
      <t xml:space="preserve"> CCME guideline is pH and temperature dependent;p guidelines used here assume 5°C typical laboratory storage temperature.</t>
    </r>
  </si>
  <si>
    <r>
      <rPr>
        <vertAlign val="superscript"/>
        <sz val="9"/>
        <color theme="1"/>
        <rFont val="Calibri"/>
        <family val="2"/>
        <scheme val="minor"/>
      </rPr>
      <t>b</t>
    </r>
    <r>
      <rPr>
        <sz val="9"/>
        <color theme="1"/>
        <rFont val="Calibri"/>
        <family val="2"/>
        <scheme val="minor"/>
      </rPr>
      <t xml:space="preserve"> CCME guideline is pH dependent; 0.005 mg/L if pH &lt; 6.5; 0.1 mg/L if pH ≥ 6.5.</t>
    </r>
  </si>
  <si>
    <r>
      <rPr>
        <vertAlign val="superscript"/>
        <sz val="9"/>
        <color theme="1"/>
        <rFont val="Calibri"/>
        <family val="2"/>
        <scheme val="minor"/>
      </rPr>
      <t>c</t>
    </r>
    <r>
      <rPr>
        <sz val="9"/>
        <color theme="1"/>
        <rFont val="Calibri"/>
        <family val="2"/>
        <scheme val="minor"/>
      </rPr>
      <t xml:space="preserve"> CCME guideline is hardness dependent; If hardness is &gt; 0 to &lt; 17 mg/L, the CWQG is 0.04 μg/L; at hardness &gt; 280 mg/L, the CWQG is 0.37 μg/L; at hardness ≥ 17 to ≤ 280 mg/L cadmium concentration = 100.83[log10(hardness)]-2.46/1000 mg/L.</t>
    </r>
  </si>
  <si>
    <r>
      <rPr>
        <vertAlign val="superscript"/>
        <sz val="9"/>
        <color theme="1"/>
        <rFont val="Calibri"/>
        <family val="2"/>
        <scheme val="minor"/>
      </rPr>
      <t>d</t>
    </r>
    <r>
      <rPr>
        <sz val="9"/>
        <color theme="1"/>
        <rFont val="Calibri"/>
        <family val="2"/>
        <scheme val="minor"/>
      </rPr>
      <t xml:space="preserve"> CCME guideline is hardness dependent; If hardness is 0 to &lt; 82 mg/L, the CWQG is 2 µg/L;  at hardness &gt;180 mg/L, the CWQG is 4 µg/L; at hardness ≥82 to ≤180 mg/L the CWQG= e0.8545[ln(hardness)]-1.465 * 0.2 /1000 mg/L.</t>
    </r>
  </si>
  <si>
    <r>
      <rPr>
        <vertAlign val="superscript"/>
        <sz val="9"/>
        <color theme="1"/>
        <rFont val="Calibri"/>
        <family val="2"/>
        <scheme val="minor"/>
      </rPr>
      <t>e</t>
    </r>
    <r>
      <rPr>
        <sz val="9"/>
        <color theme="1"/>
        <rFont val="Calibri"/>
        <family val="2"/>
        <scheme val="minor"/>
      </rPr>
      <t xml:space="preserve"> CCME guideline is hardness dependent; 0 to ≤ 60 mg/L, the CWQG is 1 µg/L; at hardness &gt;180 mg/L, the CWQG is 7 µg/L; at hardness &gt;60  to ≤ 180 mg/L the CWQG = e1.273[ln(hardness)]-4.705 /1000 mg/L.</t>
    </r>
  </si>
  <si>
    <r>
      <rPr>
        <vertAlign val="superscript"/>
        <sz val="9"/>
        <color theme="1"/>
        <rFont val="Calibri"/>
        <family val="2"/>
        <scheme val="minor"/>
      </rPr>
      <t>f</t>
    </r>
    <r>
      <rPr>
        <sz val="9"/>
        <color theme="1"/>
        <rFont val="Calibri"/>
        <family val="2"/>
        <scheme val="minor"/>
      </rPr>
      <t xml:space="preserve"> CCME guideline is hardness dependent; At hardness is 0 to ≤ 60 mg/L, the CWQG is 25 µg/L; at hardness &gt;180 mg/L, the CWQG is 150 µg/L; at hardness &gt; 60 to ≤ 180 mg/L the CWQG is = e0.76[ln(hardness)]+1.06 /1000 mg/L.</t>
    </r>
  </si>
  <si>
    <r>
      <rPr>
        <vertAlign val="superscript"/>
        <sz val="9"/>
        <color theme="1"/>
        <rFont val="Calibri"/>
        <family val="2"/>
        <scheme val="minor"/>
      </rPr>
      <t>g</t>
    </r>
    <r>
      <rPr>
        <sz val="9"/>
        <color theme="1"/>
        <rFont val="Calibri"/>
        <family val="2"/>
        <scheme val="minor"/>
      </rPr>
      <t xml:space="preserve"> CCME trigger range for oligotrophic phosphorous.</t>
    </r>
  </si>
  <si>
    <t>deg C = degrees Celsius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</si>
</sst>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%"/>
    <numFmt numFmtId="167" formatCode="0.0_);[Red]\(0.0\)"/>
    <numFmt numFmtId="168" formatCode="0_);[Red]\(0\)"/>
    <numFmt numFmtId="169" formatCode="m/d/yy\ h:mm;@"/>
  </numFmts>
  <fonts count="27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0"/>
      <color indexed="8"/>
      <name val="Arial"/>
      <family val="2"/>
    </font>
    <font>
      <sz val="10"/>
      <name val="Tahoma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b/>
      <vertAlign val="subscript"/>
      <sz val="9"/>
      <color indexed="8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vertAlign val="superscript"/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5" fillId="0" borderId="0" applyBorder="0"/>
    <xf numFmtId="0" fontId="7" fillId="0" borderId="0"/>
    <xf numFmtId="0" fontId="7" fillId="0" borderId="0"/>
    <xf numFmtId="0" fontId="7" fillId="0" borderId="0"/>
    <xf numFmtId="0" fontId="18" fillId="0" borderId="0">
      <alignment horizontal="left"/>
    </xf>
    <xf numFmtId="0" fontId="19" fillId="0" borderId="0">
      <alignment horizontal="left"/>
    </xf>
    <xf numFmtId="0" fontId="2" fillId="0" borderId="9">
      <alignment horizontal="center" wrapText="1"/>
    </xf>
    <xf numFmtId="0" fontId="21" fillId="0" borderId="0" applyNumberFormat="0" applyFill="0" applyBorder="0" applyAlignment="0" applyProtection="0"/>
  </cellStyleXfs>
  <cellXfs count="367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Protection="1">
      <protection locked="0"/>
    </xf>
    <xf numFmtId="0" fontId="2" fillId="0" borderId="7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1" fillId="0" borderId="0" xfId="0" applyFont="1" applyFill="1"/>
    <xf numFmtId="0" fontId="13" fillId="0" borderId="0" xfId="0" applyFont="1"/>
    <xf numFmtId="0" fontId="13" fillId="0" borderId="0" xfId="0" applyFont="1" applyFill="1"/>
    <xf numFmtId="0" fontId="13" fillId="0" borderId="0" xfId="0" applyFont="1" applyFill="1" applyAlignment="1">
      <alignment horizontal="left"/>
    </xf>
    <xf numFmtId="0" fontId="15" fillId="0" borderId="0" xfId="0" applyFont="1" applyFill="1" applyProtection="1">
      <protection locked="0"/>
    </xf>
    <xf numFmtId="0" fontId="15" fillId="0" borderId="0" xfId="0" applyFont="1" applyFill="1" applyBorder="1" applyProtection="1">
      <protection locked="0"/>
    </xf>
    <xf numFmtId="0" fontId="6" fillId="0" borderId="5" xfId="0" applyFont="1" applyFill="1" applyBorder="1" applyAlignment="1">
      <alignment horizontal="left"/>
    </xf>
    <xf numFmtId="0" fontId="8" fillId="0" borderId="10" xfId="1" applyFont="1" applyFill="1" applyBorder="1" applyAlignment="1">
      <alignment horizontal="center" wrapText="1"/>
    </xf>
    <xf numFmtId="0" fontId="8" fillId="0" borderId="7" xfId="1" applyFont="1" applyFill="1" applyBorder="1" applyAlignment="1">
      <alignment horizontal="center" wrapText="1"/>
    </xf>
    <xf numFmtId="0" fontId="6" fillId="0" borderId="4" xfId="0" applyFont="1" applyFill="1" applyBorder="1"/>
    <xf numFmtId="0" fontId="6" fillId="0" borderId="11" xfId="0" applyFont="1" applyFill="1" applyBorder="1"/>
    <xf numFmtId="0" fontId="8" fillId="0" borderId="9" xfId="1" applyFont="1" applyFill="1" applyBorder="1" applyAlignment="1">
      <alignment horizontal="center" wrapText="1"/>
    </xf>
    <xf numFmtId="0" fontId="6" fillId="0" borderId="4" xfId="0" applyNumberFormat="1" applyFont="1" applyFill="1" applyBorder="1"/>
    <xf numFmtId="0" fontId="6" fillId="0" borderId="11" xfId="0" applyNumberFormat="1" applyFont="1" applyFill="1" applyBorder="1"/>
    <xf numFmtId="0" fontId="6" fillId="0" borderId="4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15" fillId="0" borderId="0" xfId="0" applyFont="1" applyFill="1" applyAlignment="1" applyProtection="1">
      <alignment horizontal="center"/>
      <protection locked="0"/>
    </xf>
    <xf numFmtId="0" fontId="13" fillId="0" borderId="0" xfId="0" applyFont="1" applyFill="1" applyAlignment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64" fontId="6" fillId="0" borderId="5" xfId="0" applyNumberFormat="1" applyFont="1" applyFill="1" applyBorder="1" applyAlignment="1">
      <alignment horizontal="center"/>
    </xf>
    <xf numFmtId="14" fontId="6" fillId="0" borderId="5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2" fontId="11" fillId="0" borderId="5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2" fillId="0" borderId="13" xfId="9" applyBorder="1">
      <alignment horizontal="center" wrapText="1"/>
    </xf>
    <xf numFmtId="0" fontId="11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0" fillId="0" borderId="0" xfId="0" applyNumberFormat="1"/>
    <xf numFmtId="165" fontId="6" fillId="0" borderId="0" xfId="0" applyNumberFormat="1" applyFont="1" applyFill="1" applyBorder="1" applyAlignment="1"/>
    <xf numFmtId="2" fontId="0" fillId="0" borderId="0" xfId="0" applyNumberFormat="1" applyFont="1" applyFill="1" applyBorder="1"/>
    <xf numFmtId="2" fontId="6" fillId="0" borderId="0" xfId="0" applyNumberFormat="1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4" xfId="0" applyFont="1" applyFill="1" applyBorder="1"/>
    <xf numFmtId="0" fontId="0" fillId="0" borderId="0" xfId="0" applyFont="1" applyFill="1" applyBorder="1" applyAlignment="1"/>
    <xf numFmtId="1" fontId="0" fillId="0" borderId="0" xfId="0" applyNumberFormat="1" applyFont="1" applyFill="1" applyBorder="1"/>
    <xf numFmtId="2" fontId="0" fillId="0" borderId="0" xfId="0" applyNumberFormat="1" applyBorder="1"/>
    <xf numFmtId="0" fontId="0" fillId="0" borderId="0" xfId="0" applyFont="1" applyFill="1" applyBorder="1"/>
    <xf numFmtId="1" fontId="0" fillId="0" borderId="0" xfId="0" applyNumberFormat="1"/>
    <xf numFmtId="2" fontId="0" fillId="0" borderId="0" xfId="0" applyNumberFormat="1" applyFill="1"/>
    <xf numFmtId="2" fontId="0" fillId="0" borderId="0" xfId="0" applyNumberFormat="1" applyAlignment="1">
      <alignment wrapText="1"/>
    </xf>
    <xf numFmtId="0" fontId="6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wrapText="1"/>
    </xf>
    <xf numFmtId="0" fontId="2" fillId="0" borderId="14" xfId="9" applyBorder="1">
      <alignment horizontal="center" wrapText="1"/>
    </xf>
    <xf numFmtId="2" fontId="0" fillId="2" borderId="0" xfId="0" applyNumberFormat="1" applyFont="1" applyFill="1" applyBorder="1"/>
    <xf numFmtId="0" fontId="0" fillId="0" borderId="0" xfId="0" applyBorder="1" applyAlignment="1">
      <alignment wrapText="1"/>
    </xf>
    <xf numFmtId="1" fontId="6" fillId="0" borderId="0" xfId="0" applyNumberFormat="1" applyFont="1" applyFill="1" applyBorder="1" applyAlignment="1">
      <alignment horizontal="center" vertical="center" wrapText="1"/>
    </xf>
    <xf numFmtId="11" fontId="0" fillId="0" borderId="0" xfId="0" applyNumberFormat="1"/>
    <xf numFmtId="15" fontId="0" fillId="0" borderId="0" xfId="0" applyNumberFormat="1"/>
    <xf numFmtId="0" fontId="2" fillId="0" borderId="9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6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Border="1"/>
    <xf numFmtId="22" fontId="22" fillId="0" borderId="0" xfId="0" applyNumberFormat="1" applyFont="1" applyBorder="1"/>
    <xf numFmtId="22" fontId="0" fillId="0" borderId="0" xfId="0" applyNumberFormat="1" applyBorder="1"/>
    <xf numFmtId="0" fontId="2" fillId="0" borderId="0" xfId="9" applyFont="1" applyBorder="1">
      <alignment horizontal="center" wrapText="1"/>
    </xf>
    <xf numFmtId="0" fontId="6" fillId="0" borderId="0" xfId="0" applyFont="1" applyBorder="1"/>
    <xf numFmtId="22" fontId="6" fillId="0" borderId="0" xfId="0" applyNumberFormat="1" applyFont="1" applyBorder="1"/>
    <xf numFmtId="0" fontId="6" fillId="0" borderId="0" xfId="0" applyFont="1" applyBorder="1" applyAlignment="1">
      <alignment wrapText="1"/>
    </xf>
    <xf numFmtId="22" fontId="6" fillId="0" borderId="0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22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22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2" fillId="0" borderId="9" xfId="9" applyFont="1" applyBorder="1">
      <alignment horizontal="center" wrapText="1"/>
    </xf>
    <xf numFmtId="0" fontId="2" fillId="0" borderId="9" xfId="9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22" fontId="6" fillId="0" borderId="5" xfId="0" applyNumberFormat="1" applyFont="1" applyBorder="1" applyAlignment="1">
      <alignment horizontal="center"/>
    </xf>
    <xf numFmtId="0" fontId="2" fillId="0" borderId="9" xfId="9" applyFont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2" fontId="6" fillId="0" borderId="0" xfId="0" applyNumberFormat="1" applyFont="1" applyBorder="1" applyAlignment="1">
      <alignment vertical="center"/>
    </xf>
    <xf numFmtId="0" fontId="2" fillId="0" borderId="0" xfId="9" applyFont="1" applyFill="1" applyBorder="1">
      <alignment horizontal="center" wrapText="1"/>
    </xf>
    <xf numFmtId="0" fontId="2" fillId="0" borderId="0" xfId="0" applyFont="1"/>
    <xf numFmtId="164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164" fontId="6" fillId="0" borderId="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9" fontId="6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165" fontId="13" fillId="0" borderId="0" xfId="0" applyNumberFormat="1" applyFont="1" applyFill="1" applyBorder="1" applyAlignment="1"/>
    <xf numFmtId="0" fontId="13" fillId="0" borderId="0" xfId="0" applyFont="1" applyBorder="1" applyAlignment="1"/>
    <xf numFmtId="0" fontId="2" fillId="0" borderId="0" xfId="0" applyFont="1" applyBorder="1"/>
    <xf numFmtId="0" fontId="2" fillId="0" borderId="12" xfId="0" applyFont="1" applyFill="1" applyBorder="1" applyAlignment="1"/>
    <xf numFmtId="0" fontId="11" fillId="0" borderId="12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5" xfId="9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2" xfId="0" applyFont="1" applyBorder="1" applyAlignment="1">
      <alignment horizontal="left"/>
    </xf>
    <xf numFmtId="164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/>
    <xf numFmtId="2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0" fontId="6" fillId="0" borderId="0" xfId="0" applyFont="1" applyFill="1" applyBorder="1" applyAlignment="1"/>
    <xf numFmtId="2" fontId="6" fillId="0" borderId="0" xfId="0" applyNumberFormat="1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wrapText="1"/>
    </xf>
    <xf numFmtId="1" fontId="6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2" fontId="6" fillId="0" borderId="12" xfId="0" applyNumberFormat="1" applyFont="1" applyFill="1" applyBorder="1" applyAlignment="1">
      <alignment horizontal="center" vertical="center" wrapText="1"/>
    </xf>
    <xf numFmtId="0" fontId="2" fillId="0" borderId="0" xfId="9" applyFont="1" applyFill="1" applyBorder="1" applyAlignment="1">
      <alignment horizontal="center" vertical="center" wrapText="1"/>
    </xf>
    <xf numFmtId="0" fontId="2" fillId="4" borderId="9" xfId="9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2" fontId="6" fillId="0" borderId="0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2" fontId="6" fillId="0" borderId="12" xfId="0" applyNumberFormat="1" applyFont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left" vertical="center" wrapText="1"/>
    </xf>
    <xf numFmtId="2" fontId="6" fillId="0" borderId="5" xfId="0" applyNumberFormat="1" applyFont="1" applyFill="1" applyBorder="1" applyAlignment="1">
      <alignment horizontal="left" vertical="center" wrapText="1"/>
    </xf>
    <xf numFmtId="2" fontId="6" fillId="0" borderId="9" xfId="0" applyNumberFormat="1" applyFont="1" applyBorder="1" applyAlignment="1">
      <alignment horizontal="left" vertical="center" wrapText="1"/>
    </xf>
    <xf numFmtId="2" fontId="6" fillId="0" borderId="5" xfId="0" applyNumberFormat="1" applyFont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2" fillId="0" borderId="14" xfId="0" applyFont="1" applyFill="1" applyBorder="1" applyAlignment="1">
      <alignment horizontal="center" wrapText="1"/>
    </xf>
    <xf numFmtId="165" fontId="2" fillId="0" borderId="14" xfId="0" applyNumberFormat="1" applyFont="1" applyFill="1" applyBorder="1" applyAlignment="1">
      <alignment horizontal="center" wrapText="1"/>
    </xf>
    <xf numFmtId="165" fontId="6" fillId="0" borderId="0" xfId="0" applyNumberFormat="1" applyFont="1" applyFill="1" applyAlignment="1">
      <alignment horizontal="center"/>
    </xf>
    <xf numFmtId="2" fontId="6" fillId="0" borderId="0" xfId="0" applyNumberFormat="1" applyFont="1" applyFill="1" applyAlignment="1">
      <alignment horizontal="center"/>
    </xf>
    <xf numFmtId="166" fontId="6" fillId="0" borderId="0" xfId="0" applyNumberFormat="1" applyFont="1"/>
    <xf numFmtId="165" fontId="6" fillId="0" borderId="0" xfId="0" applyNumberFormat="1" applyFont="1" applyAlignment="1">
      <alignment horizontal="center"/>
    </xf>
    <xf numFmtId="165" fontId="6" fillId="0" borderId="5" xfId="0" applyNumberFormat="1" applyFont="1" applyFill="1" applyBorder="1" applyAlignment="1">
      <alignment horizontal="center"/>
    </xf>
    <xf numFmtId="0" fontId="6" fillId="0" borderId="5" xfId="0" applyFont="1" applyBorder="1"/>
    <xf numFmtId="0" fontId="2" fillId="0" borderId="9" xfId="0" applyFont="1" applyFill="1" applyBorder="1" applyAlignment="1"/>
    <xf numFmtId="0" fontId="6" fillId="0" borderId="9" xfId="0" applyFont="1" applyBorder="1"/>
    <xf numFmtId="165" fontId="6" fillId="0" borderId="9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164" fontId="6" fillId="0" borderId="0" xfId="0" applyNumberFormat="1" applyFont="1"/>
    <xf numFmtId="10" fontId="6" fillId="0" borderId="0" xfId="0" applyNumberFormat="1" applyFont="1"/>
    <xf numFmtId="2" fontId="6" fillId="0" borderId="5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6" fillId="0" borderId="0" xfId="0" applyNumberFormat="1" applyFont="1" applyFill="1"/>
    <xf numFmtId="0" fontId="19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165" fontId="2" fillId="0" borderId="5" xfId="0" applyNumberFormat="1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165" fontId="2" fillId="0" borderId="9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9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14" xfId="0" applyFont="1" applyFill="1" applyBorder="1" applyAlignment="1">
      <alignment horizontal="left" wrapText="1"/>
    </xf>
    <xf numFmtId="2" fontId="6" fillId="0" borderId="0" xfId="0" applyNumberFormat="1" applyFont="1" applyFill="1" applyAlignment="1">
      <alignment horizontal="left"/>
    </xf>
    <xf numFmtId="165" fontId="6" fillId="0" borderId="0" xfId="0" applyNumberFormat="1" applyFont="1"/>
    <xf numFmtId="164" fontId="6" fillId="0" borderId="0" xfId="0" applyNumberFormat="1" applyFont="1" applyFill="1"/>
    <xf numFmtId="0" fontId="18" fillId="0" borderId="0" xfId="0" applyFont="1" applyAlignment="1">
      <alignment horizontal="left"/>
    </xf>
    <xf numFmtId="0" fontId="18" fillId="0" borderId="0" xfId="0" applyFont="1"/>
    <xf numFmtId="165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/>
    <xf numFmtId="164" fontId="6" fillId="0" borderId="0" xfId="0" applyNumberFormat="1" applyFont="1" applyFill="1" applyBorder="1"/>
    <xf numFmtId="0" fontId="6" fillId="0" borderId="12" xfId="0" applyFont="1" applyBorder="1"/>
    <xf numFmtId="0" fontId="6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65" fontId="2" fillId="0" borderId="9" xfId="0" applyNumberFormat="1" applyFont="1" applyFill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164" fontId="2" fillId="0" borderId="0" xfId="0" applyNumberFormat="1" applyFont="1"/>
    <xf numFmtId="0" fontId="6" fillId="0" borderId="0" xfId="0" applyFont="1" applyBorder="1" applyAlignment="1">
      <alignment horizontal="center" vertical="top"/>
    </xf>
    <xf numFmtId="2" fontId="6" fillId="0" borderId="0" xfId="0" applyNumberFormat="1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/>
    </xf>
    <xf numFmtId="165" fontId="2" fillId="0" borderId="12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5" fontId="6" fillId="0" borderId="12" xfId="0" applyNumberFormat="1" applyFont="1" applyBorder="1"/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2" fontId="2" fillId="0" borderId="9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/>
    <xf numFmtId="167" fontId="6" fillId="0" borderId="0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168" fontId="6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168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164" fontId="2" fillId="0" borderId="9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165" fontId="6" fillId="0" borderId="0" xfId="0" applyNumberFormat="1" applyFont="1" applyFill="1" applyBorder="1" applyAlignment="1">
      <alignment horizontal="center" wrapText="1"/>
    </xf>
    <xf numFmtId="1" fontId="6" fillId="0" borderId="0" xfId="0" applyNumberFormat="1" applyFont="1" applyFill="1" applyBorder="1" applyAlignment="1">
      <alignment horizontal="center" wrapText="1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Fill="1" applyBorder="1" applyAlignment="1">
      <alignment horizontal="left"/>
    </xf>
    <xf numFmtId="166" fontId="6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65" fontId="6" fillId="0" borderId="5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 wrapText="1"/>
    </xf>
    <xf numFmtId="1" fontId="6" fillId="0" borderId="9" xfId="0" applyNumberFormat="1" applyFont="1" applyFill="1" applyBorder="1" applyAlignment="1">
      <alignment horizontal="center" wrapText="1"/>
    </xf>
    <xf numFmtId="164" fontId="6" fillId="0" borderId="9" xfId="0" applyNumberFormat="1" applyFont="1" applyFill="1" applyBorder="1" applyAlignment="1">
      <alignment horizontal="center" wrapText="1"/>
    </xf>
    <xf numFmtId="164" fontId="6" fillId="0" borderId="9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Fill="1" applyBorder="1" applyAlignment="1" applyProtection="1">
      <alignment vertical="top"/>
      <protection locked="0"/>
    </xf>
    <xf numFmtId="0" fontId="2" fillId="0" borderId="12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5" fontId="2" fillId="0" borderId="10" xfId="0" applyNumberFormat="1" applyFont="1" applyBorder="1" applyAlignment="1">
      <alignment horizontal="center" vertical="center"/>
    </xf>
    <xf numFmtId="15" fontId="2" fillId="0" borderId="6" xfId="0" applyNumberFormat="1" applyFont="1" applyBorder="1" applyAlignment="1">
      <alignment horizontal="center" vertical="center"/>
    </xf>
    <xf numFmtId="169" fontId="2" fillId="0" borderId="6" xfId="0" applyNumberFormat="1" applyFont="1" applyBorder="1" applyAlignment="1">
      <alignment horizontal="center" vertical="center"/>
    </xf>
    <xf numFmtId="169" fontId="2" fillId="0" borderId="7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5" fontId="2" fillId="0" borderId="7" xfId="0" applyNumberFormat="1" applyFont="1" applyBorder="1" applyAlignment="1">
      <alignment horizontal="center" vertical="center"/>
    </xf>
    <xf numFmtId="11" fontId="6" fillId="0" borderId="0" xfId="0" applyNumberFormat="1" applyFont="1" applyAlignment="1">
      <alignment horizontal="center"/>
    </xf>
    <xf numFmtId="11" fontId="6" fillId="0" borderId="0" xfId="0" applyNumberFormat="1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1" fontId="6" fillId="0" borderId="0" xfId="0" applyNumberFormat="1" applyFont="1" applyAlignment="1">
      <alignment horizontal="center" vertical="top"/>
    </xf>
    <xf numFmtId="11" fontId="6" fillId="0" borderId="0" xfId="0" applyNumberFormat="1" applyFont="1" applyAlignment="1">
      <alignment horizontal="left" vertical="top" wrapText="1"/>
    </xf>
    <xf numFmtId="0" fontId="18" fillId="3" borderId="0" xfId="0" applyFont="1" applyFill="1"/>
    <xf numFmtId="0" fontId="2" fillId="0" borderId="0" xfId="0" applyFont="1" applyBorder="1" applyAlignment="1">
      <alignment horizontal="center" vertical="center"/>
    </xf>
    <xf numFmtId="15" fontId="2" fillId="0" borderId="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166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1" fontId="6" fillId="0" borderId="6" xfId="0" applyNumberFormat="1" applyFont="1" applyBorder="1" applyAlignment="1">
      <alignment horizontal="center" vertical="center"/>
    </xf>
    <xf numFmtId="11" fontId="6" fillId="0" borderId="7" xfId="0" applyNumberFormat="1" applyFont="1" applyBorder="1" applyAlignment="1">
      <alignment horizontal="center" vertical="center"/>
    </xf>
    <xf numFmtId="0" fontId="6" fillId="0" borderId="0" xfId="0" applyNumberFormat="1" applyFont="1"/>
    <xf numFmtId="1" fontId="6" fillId="0" borderId="0" xfId="0" applyNumberFormat="1" applyFont="1" applyBorder="1"/>
    <xf numFmtId="0" fontId="6" fillId="0" borderId="0" xfId="0" applyFont="1" applyFill="1" applyBorder="1" applyAlignment="1">
      <alignment horizontal="center" wrapText="1"/>
    </xf>
    <xf numFmtId="2" fontId="6" fillId="0" borderId="0" xfId="0" applyNumberFormat="1" applyFont="1" applyBorder="1"/>
    <xf numFmtId="0" fontId="6" fillId="0" borderId="0" xfId="0" applyNumberFormat="1" applyFont="1" applyBorder="1"/>
    <xf numFmtId="0" fontId="6" fillId="0" borderId="0" xfId="0" applyNumberFormat="1" applyFont="1" applyAlignment="1">
      <alignment horizontal="center"/>
    </xf>
    <xf numFmtId="0" fontId="13" fillId="0" borderId="0" xfId="0" applyFont="1" applyAlignment="1">
      <alignment wrapText="1"/>
    </xf>
    <xf numFmtId="2" fontId="13" fillId="0" borderId="0" xfId="0" applyNumberFormat="1" applyFont="1"/>
    <xf numFmtId="0" fontId="13" fillId="0" borderId="0" xfId="0" applyNumberFormat="1" applyFont="1"/>
    <xf numFmtId="1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vertical="center"/>
    </xf>
    <xf numFmtId="11" fontId="6" fillId="0" borderId="0" xfId="0" applyNumberFormat="1" applyFont="1" applyFill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2" fontId="6" fillId="0" borderId="12" xfId="0" applyNumberFormat="1" applyFont="1" applyFill="1" applyBorder="1" applyAlignment="1">
      <alignment horizontal="left" vertical="center"/>
    </xf>
    <xf numFmtId="0" fontId="6" fillId="0" borderId="12" xfId="0" applyNumberFormat="1" applyFont="1" applyFill="1" applyBorder="1" applyAlignment="1">
      <alignment horizontal="center" vertical="center"/>
    </xf>
    <xf numFmtId="1" fontId="6" fillId="0" borderId="5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center" vertical="center"/>
    </xf>
    <xf numFmtId="11" fontId="6" fillId="0" borderId="5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0" fontId="26" fillId="0" borderId="0" xfId="10" applyFont="1" applyBorder="1" applyAlignment="1">
      <alignment horizontal="left"/>
    </xf>
    <xf numFmtId="1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" fontId="6" fillId="0" borderId="0" xfId="0" quotePrefix="1" applyNumberFormat="1" applyFont="1" applyAlignment="1">
      <alignment horizontal="center" vertical="center"/>
    </xf>
    <xf numFmtId="1" fontId="6" fillId="0" borderId="5" xfId="0" quotePrefix="1" applyNumberFormat="1" applyFont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0" xfId="0" applyFont="1" applyFill="1"/>
    <xf numFmtId="0" fontId="2" fillId="0" borderId="9" xfId="9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2" fillId="0" borderId="12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8" fillId="0" borderId="3" xfId="1" applyFont="1" applyFill="1" applyBorder="1" applyAlignment="1">
      <alignment horizontal="center" wrapText="1"/>
    </xf>
    <xf numFmtId="0" fontId="8" fillId="0" borderId="4" xfId="1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4" fillId="0" borderId="0" xfId="0" applyFont="1" applyFill="1" applyAlignment="1" applyProtection="1">
      <alignment horizontal="left" vertical="top" wrapText="1"/>
      <protection locked="0"/>
    </xf>
    <xf numFmtId="0" fontId="8" fillId="0" borderId="2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center" wrapText="1"/>
    </xf>
    <xf numFmtId="0" fontId="8" fillId="0" borderId="5" xfId="1" applyFont="1" applyFill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25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</cellXfs>
  <cellStyles count="11">
    <cellStyle name=" 1 2" xfId="4"/>
    <cellStyle name="caption" xfId="8"/>
    <cellStyle name="GroupColumn0" xfId="3"/>
    <cellStyle name="Hyperlink" xfId="10" builtinId="8"/>
    <cellStyle name="Normal" xfId="0" builtinId="0"/>
    <cellStyle name="Normal 2" xfId="6"/>
    <cellStyle name="Normal 4" xfId="2"/>
    <cellStyle name="Normal_Sheet4" xfId="1"/>
    <cellStyle name="Style 1" xfId="5"/>
    <cellStyle name="Table # and title" xfId="7"/>
    <cellStyle name="table head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hartsheet" Target="chartsheets/sheet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'4_FCD-1'!$C$28</c:f>
              <c:strCache>
                <c:ptCount val="1"/>
                <c:pt idx="0">
                  <c:v>Depth (ft)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'4_FCD-1'!$B$29:$B$49</c:f>
              <c:numCache>
                <c:formatCode>General</c:formatCode>
                <c:ptCount val="21"/>
                <c:pt idx="0">
                  <c:v>1</c:v>
                </c:pt>
                <c:pt idx="1">
                  <c:v>1.1000000000000001</c:v>
                </c:pt>
                <c:pt idx="2">
                  <c:v>1.3</c:v>
                </c:pt>
                <c:pt idx="3">
                  <c:v>1.5</c:v>
                </c:pt>
                <c:pt idx="4">
                  <c:v>1.7</c:v>
                </c:pt>
                <c:pt idx="5">
                  <c:v>1.9</c:v>
                </c:pt>
                <c:pt idx="6">
                  <c:v>2.1</c:v>
                </c:pt>
                <c:pt idx="7">
                  <c:v>2.3000000000000003</c:v>
                </c:pt>
                <c:pt idx="8">
                  <c:v>2.5000000000000004</c:v>
                </c:pt>
                <c:pt idx="9">
                  <c:v>2.7000000000000006</c:v>
                </c:pt>
                <c:pt idx="10">
                  <c:v>2.9000000000000008</c:v>
                </c:pt>
                <c:pt idx="11">
                  <c:v>3.100000000000001</c:v>
                </c:pt>
                <c:pt idx="12">
                  <c:v>3.3000000000000012</c:v>
                </c:pt>
                <c:pt idx="13">
                  <c:v>3.5000000000000013</c:v>
                </c:pt>
                <c:pt idx="14">
                  <c:v>3.7000000000000015</c:v>
                </c:pt>
                <c:pt idx="15">
                  <c:v>3.9000000000000017</c:v>
                </c:pt>
                <c:pt idx="16">
                  <c:v>4.1000000000000014</c:v>
                </c:pt>
                <c:pt idx="17">
                  <c:v>4.3000000000000016</c:v>
                </c:pt>
                <c:pt idx="18">
                  <c:v>4.5000000000000018</c:v>
                </c:pt>
                <c:pt idx="19">
                  <c:v>4.7</c:v>
                </c:pt>
                <c:pt idx="20">
                  <c:v>4.75</c:v>
                </c:pt>
              </c:numCache>
            </c:numRef>
          </c:xVal>
          <c:yVal>
            <c:numRef>
              <c:f>'4_FCD-1'!$C$29:$C$49</c:f>
              <c:numCache>
                <c:formatCode>General</c:formatCode>
                <c:ptCount val="21"/>
                <c:pt idx="0">
                  <c:v>0</c:v>
                </c:pt>
                <c:pt idx="1">
                  <c:v>0.25</c:v>
                </c:pt>
                <c:pt idx="2">
                  <c:v>0.35</c:v>
                </c:pt>
                <c:pt idx="3">
                  <c:v>0.3</c:v>
                </c:pt>
                <c:pt idx="4">
                  <c:v>0.4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0.6</c:v>
                </c:pt>
                <c:pt idx="9">
                  <c:v>0.5</c:v>
                </c:pt>
                <c:pt idx="10">
                  <c:v>0.55000000000000004</c:v>
                </c:pt>
                <c:pt idx="11">
                  <c:v>0.65</c:v>
                </c:pt>
                <c:pt idx="12">
                  <c:v>0.6</c:v>
                </c:pt>
                <c:pt idx="13">
                  <c:v>0.8</c:v>
                </c:pt>
                <c:pt idx="14">
                  <c:v>0.9</c:v>
                </c:pt>
                <c:pt idx="15">
                  <c:v>0.7</c:v>
                </c:pt>
                <c:pt idx="16">
                  <c:v>0.75</c:v>
                </c:pt>
                <c:pt idx="17">
                  <c:v>0.8</c:v>
                </c:pt>
                <c:pt idx="18">
                  <c:v>0.4</c:v>
                </c:pt>
                <c:pt idx="19">
                  <c:v>0.5</c:v>
                </c:pt>
                <c:pt idx="20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12B-42F3-A15F-02ED4C53F76F}"/>
            </c:ext>
          </c:extLst>
        </c:ser>
        <c:ser>
          <c:idx val="1"/>
          <c:order val="1"/>
          <c:tx>
            <c:strRef>
              <c:f>'4_FCD-1'!$C$52</c:f>
              <c:strCache>
                <c:ptCount val="1"/>
                <c:pt idx="0">
                  <c:v>Depth (ft)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'4_FCD-1'!$B$53:$B$72</c:f>
              <c:numCache>
                <c:formatCode>General</c:formatCode>
                <c:ptCount val="2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1.5999999999999999</c:v>
                </c:pt>
                <c:pt idx="4">
                  <c:v>1.7999999999999998</c:v>
                </c:pt>
                <c:pt idx="5">
                  <c:v>1.9999999999999998</c:v>
                </c:pt>
                <c:pt idx="6">
                  <c:v>2.1999999999999997</c:v>
                </c:pt>
                <c:pt idx="7">
                  <c:v>2.4</c:v>
                </c:pt>
                <c:pt idx="8">
                  <c:v>2.6</c:v>
                </c:pt>
                <c:pt idx="9">
                  <c:v>2.8000000000000003</c:v>
                </c:pt>
                <c:pt idx="10">
                  <c:v>3.0000000000000004</c:v>
                </c:pt>
                <c:pt idx="11">
                  <c:v>3.2000000000000006</c:v>
                </c:pt>
                <c:pt idx="12">
                  <c:v>3.4000000000000008</c:v>
                </c:pt>
                <c:pt idx="13">
                  <c:v>3.600000000000001</c:v>
                </c:pt>
                <c:pt idx="14">
                  <c:v>3.8000000000000012</c:v>
                </c:pt>
                <c:pt idx="15">
                  <c:v>4.0000000000000009</c:v>
                </c:pt>
                <c:pt idx="16">
                  <c:v>4.2000000000000011</c:v>
                </c:pt>
                <c:pt idx="17">
                  <c:v>4.4000000000000012</c:v>
                </c:pt>
                <c:pt idx="18">
                  <c:v>4.6000000000000014</c:v>
                </c:pt>
                <c:pt idx="19">
                  <c:v>4.75</c:v>
                </c:pt>
              </c:numCache>
            </c:numRef>
          </c:xVal>
          <c:yVal>
            <c:numRef>
              <c:f>'4_FCD-1'!$C$53:$C$72</c:f>
              <c:numCache>
                <c:formatCode>General</c:formatCode>
                <c:ptCount val="20"/>
                <c:pt idx="0">
                  <c:v>0</c:v>
                </c:pt>
                <c:pt idx="1">
                  <c:v>0.35</c:v>
                </c:pt>
                <c:pt idx="2">
                  <c:v>0.25</c:v>
                </c:pt>
                <c:pt idx="3">
                  <c:v>0.4</c:v>
                </c:pt>
                <c:pt idx="4">
                  <c:v>0.45</c:v>
                </c:pt>
                <c:pt idx="5">
                  <c:v>0.35</c:v>
                </c:pt>
                <c:pt idx="6">
                  <c:v>0.4</c:v>
                </c:pt>
                <c:pt idx="7">
                  <c:v>0.3</c:v>
                </c:pt>
                <c:pt idx="8">
                  <c:v>0.6</c:v>
                </c:pt>
                <c:pt idx="9">
                  <c:v>0.55000000000000004</c:v>
                </c:pt>
                <c:pt idx="10">
                  <c:v>0.6</c:v>
                </c:pt>
                <c:pt idx="11">
                  <c:v>0.65</c:v>
                </c:pt>
                <c:pt idx="12">
                  <c:v>0.7</c:v>
                </c:pt>
                <c:pt idx="13">
                  <c:v>0.85</c:v>
                </c:pt>
                <c:pt idx="14">
                  <c:v>0.75</c:v>
                </c:pt>
                <c:pt idx="15">
                  <c:v>0.75</c:v>
                </c:pt>
                <c:pt idx="16">
                  <c:v>0.6</c:v>
                </c:pt>
                <c:pt idx="17">
                  <c:v>0.85</c:v>
                </c:pt>
                <c:pt idx="18">
                  <c:v>0.4</c:v>
                </c:pt>
                <c:pt idx="19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12B-42F3-A15F-02ED4C53F76F}"/>
            </c:ext>
          </c:extLst>
        </c:ser>
        <c:ser>
          <c:idx val="0"/>
          <c:order val="2"/>
          <c:tx>
            <c:strRef>
              <c:f>'4_FCD-1'!$C$4</c:f>
              <c:strCache>
                <c:ptCount val="1"/>
                <c:pt idx="0">
                  <c:v>Depth 
(ft)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'4_FCD-1'!$B$6:$B$25</c:f>
              <c:numCache>
                <c:formatCode>General</c:formatCode>
                <c:ptCount val="2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1.5999999999999999</c:v>
                </c:pt>
                <c:pt idx="4">
                  <c:v>1.7999999999999998</c:v>
                </c:pt>
                <c:pt idx="5">
                  <c:v>1.9999999999999998</c:v>
                </c:pt>
                <c:pt idx="6">
                  <c:v>2.1999999999999997</c:v>
                </c:pt>
                <c:pt idx="7">
                  <c:v>2.4</c:v>
                </c:pt>
                <c:pt idx="8">
                  <c:v>2.6</c:v>
                </c:pt>
                <c:pt idx="9">
                  <c:v>2.8000000000000003</c:v>
                </c:pt>
                <c:pt idx="10">
                  <c:v>3.0000000000000004</c:v>
                </c:pt>
                <c:pt idx="11">
                  <c:v>3.2000000000000006</c:v>
                </c:pt>
                <c:pt idx="12">
                  <c:v>3.4000000000000008</c:v>
                </c:pt>
                <c:pt idx="13">
                  <c:v>3.600000000000001</c:v>
                </c:pt>
                <c:pt idx="14">
                  <c:v>3.8000000000000012</c:v>
                </c:pt>
                <c:pt idx="15">
                  <c:v>4.0000000000000009</c:v>
                </c:pt>
                <c:pt idx="16">
                  <c:v>4.2000000000000011</c:v>
                </c:pt>
                <c:pt idx="17">
                  <c:v>4.4000000000000012</c:v>
                </c:pt>
                <c:pt idx="18">
                  <c:v>4.6000000000000014</c:v>
                </c:pt>
                <c:pt idx="19">
                  <c:v>4.75</c:v>
                </c:pt>
              </c:numCache>
            </c:numRef>
          </c:xVal>
          <c:yVal>
            <c:numRef>
              <c:f>'4_FCD-1'!$C$6:$C$25</c:f>
              <c:numCache>
                <c:formatCode>General</c:formatCode>
                <c:ptCount val="20"/>
                <c:pt idx="0">
                  <c:v>0</c:v>
                </c:pt>
                <c:pt idx="1">
                  <c:v>0.4</c:v>
                </c:pt>
                <c:pt idx="2">
                  <c:v>0.25</c:v>
                </c:pt>
                <c:pt idx="3">
                  <c:v>0.4</c:v>
                </c:pt>
                <c:pt idx="4">
                  <c:v>0.45</c:v>
                </c:pt>
                <c:pt idx="5">
                  <c:v>0.35</c:v>
                </c:pt>
                <c:pt idx="6">
                  <c:v>0.4</c:v>
                </c:pt>
                <c:pt idx="7">
                  <c:v>0.35</c:v>
                </c:pt>
                <c:pt idx="8">
                  <c:v>0.55000000000000004</c:v>
                </c:pt>
                <c:pt idx="9">
                  <c:v>0.6</c:v>
                </c:pt>
                <c:pt idx="10">
                  <c:v>0.6</c:v>
                </c:pt>
                <c:pt idx="11">
                  <c:v>0.65</c:v>
                </c:pt>
                <c:pt idx="12">
                  <c:v>0.8</c:v>
                </c:pt>
                <c:pt idx="13">
                  <c:v>0.9</c:v>
                </c:pt>
                <c:pt idx="14">
                  <c:v>0.75</c:v>
                </c:pt>
                <c:pt idx="15">
                  <c:v>0.8</c:v>
                </c:pt>
                <c:pt idx="16">
                  <c:v>0.6</c:v>
                </c:pt>
                <c:pt idx="17">
                  <c:v>0.9</c:v>
                </c:pt>
                <c:pt idx="18">
                  <c:v>0.4</c:v>
                </c:pt>
                <c:pt idx="19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12B-42F3-A15F-02ED4C53F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66872"/>
        <c:axId val="213767264"/>
      </c:scatterChart>
      <c:valAx>
        <c:axId val="2137668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67264"/>
        <c:crosses val="autoZero"/>
        <c:crossBetween val="midCat"/>
      </c:valAx>
      <c:valAx>
        <c:axId val="21376726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66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292631358088013E-2"/>
          <c:y val="8.60193984341516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'4_FCD-1'!$E$28</c:f>
              <c:strCache>
                <c:ptCount val="1"/>
                <c:pt idx="0">
                  <c:v>Velocity (m/s)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'4_FCD-1'!$B$29:$B$49</c:f>
              <c:numCache>
                <c:formatCode>General</c:formatCode>
                <c:ptCount val="21"/>
                <c:pt idx="0">
                  <c:v>1</c:v>
                </c:pt>
                <c:pt idx="1">
                  <c:v>1.1000000000000001</c:v>
                </c:pt>
                <c:pt idx="2">
                  <c:v>1.3</c:v>
                </c:pt>
                <c:pt idx="3">
                  <c:v>1.5</c:v>
                </c:pt>
                <c:pt idx="4">
                  <c:v>1.7</c:v>
                </c:pt>
                <c:pt idx="5">
                  <c:v>1.9</c:v>
                </c:pt>
                <c:pt idx="6">
                  <c:v>2.1</c:v>
                </c:pt>
                <c:pt idx="7">
                  <c:v>2.3000000000000003</c:v>
                </c:pt>
                <c:pt idx="8">
                  <c:v>2.5000000000000004</c:v>
                </c:pt>
                <c:pt idx="9">
                  <c:v>2.7000000000000006</c:v>
                </c:pt>
                <c:pt idx="10">
                  <c:v>2.9000000000000008</c:v>
                </c:pt>
                <c:pt idx="11">
                  <c:v>3.100000000000001</c:v>
                </c:pt>
                <c:pt idx="12">
                  <c:v>3.3000000000000012</c:v>
                </c:pt>
                <c:pt idx="13">
                  <c:v>3.5000000000000013</c:v>
                </c:pt>
                <c:pt idx="14">
                  <c:v>3.7000000000000015</c:v>
                </c:pt>
                <c:pt idx="15">
                  <c:v>3.9000000000000017</c:v>
                </c:pt>
                <c:pt idx="16">
                  <c:v>4.1000000000000014</c:v>
                </c:pt>
                <c:pt idx="17">
                  <c:v>4.3000000000000016</c:v>
                </c:pt>
                <c:pt idx="18">
                  <c:v>4.5000000000000018</c:v>
                </c:pt>
                <c:pt idx="19">
                  <c:v>4.7</c:v>
                </c:pt>
                <c:pt idx="20">
                  <c:v>4.75</c:v>
                </c:pt>
              </c:numCache>
            </c:numRef>
          </c:xVal>
          <c:yVal>
            <c:numRef>
              <c:f>'4_FCD-1'!$E$29:$E$49</c:f>
              <c:numCache>
                <c:formatCode>General</c:formatCode>
                <c:ptCount val="21"/>
                <c:pt idx="0">
                  <c:v>0</c:v>
                </c:pt>
                <c:pt idx="1">
                  <c:v>-0.01</c:v>
                </c:pt>
                <c:pt idx="2">
                  <c:v>0.01</c:v>
                </c:pt>
                <c:pt idx="3">
                  <c:v>0.15</c:v>
                </c:pt>
                <c:pt idx="4">
                  <c:v>0.37</c:v>
                </c:pt>
                <c:pt idx="5">
                  <c:v>0.38</c:v>
                </c:pt>
                <c:pt idx="6">
                  <c:v>0.22</c:v>
                </c:pt>
                <c:pt idx="7">
                  <c:v>0.52</c:v>
                </c:pt>
                <c:pt idx="8">
                  <c:v>0.11</c:v>
                </c:pt>
                <c:pt idx="9">
                  <c:v>0.47</c:v>
                </c:pt>
                <c:pt idx="10">
                  <c:v>0.59</c:v>
                </c:pt>
                <c:pt idx="11">
                  <c:v>0.75</c:v>
                </c:pt>
                <c:pt idx="12">
                  <c:v>0.78</c:v>
                </c:pt>
                <c:pt idx="13">
                  <c:v>0.87</c:v>
                </c:pt>
                <c:pt idx="14">
                  <c:v>0.79</c:v>
                </c:pt>
                <c:pt idx="15">
                  <c:v>1.18</c:v>
                </c:pt>
                <c:pt idx="16">
                  <c:v>1.1599999999999999</c:v>
                </c:pt>
                <c:pt idx="17">
                  <c:v>0.76</c:v>
                </c:pt>
                <c:pt idx="18">
                  <c:v>0.48</c:v>
                </c:pt>
                <c:pt idx="19">
                  <c:v>0.56000000000000005</c:v>
                </c:pt>
                <c:pt idx="20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B34-4308-8927-BF0A04A56485}"/>
            </c:ext>
          </c:extLst>
        </c:ser>
        <c:ser>
          <c:idx val="1"/>
          <c:order val="1"/>
          <c:tx>
            <c:strRef>
              <c:f>'4_FCD-1'!$E$52</c:f>
              <c:strCache>
                <c:ptCount val="1"/>
                <c:pt idx="0">
                  <c:v>Velocity (m/s)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'4_FCD-1'!$B$53:$B$72</c:f>
              <c:numCache>
                <c:formatCode>General</c:formatCode>
                <c:ptCount val="2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1.5999999999999999</c:v>
                </c:pt>
                <c:pt idx="4">
                  <c:v>1.7999999999999998</c:v>
                </c:pt>
                <c:pt idx="5">
                  <c:v>1.9999999999999998</c:v>
                </c:pt>
                <c:pt idx="6">
                  <c:v>2.1999999999999997</c:v>
                </c:pt>
                <c:pt idx="7">
                  <c:v>2.4</c:v>
                </c:pt>
                <c:pt idx="8">
                  <c:v>2.6</c:v>
                </c:pt>
                <c:pt idx="9">
                  <c:v>2.8000000000000003</c:v>
                </c:pt>
                <c:pt idx="10">
                  <c:v>3.0000000000000004</c:v>
                </c:pt>
                <c:pt idx="11">
                  <c:v>3.2000000000000006</c:v>
                </c:pt>
                <c:pt idx="12">
                  <c:v>3.4000000000000008</c:v>
                </c:pt>
                <c:pt idx="13">
                  <c:v>3.600000000000001</c:v>
                </c:pt>
                <c:pt idx="14">
                  <c:v>3.8000000000000012</c:v>
                </c:pt>
                <c:pt idx="15">
                  <c:v>4.0000000000000009</c:v>
                </c:pt>
                <c:pt idx="16">
                  <c:v>4.2000000000000011</c:v>
                </c:pt>
                <c:pt idx="17">
                  <c:v>4.4000000000000012</c:v>
                </c:pt>
                <c:pt idx="18">
                  <c:v>4.6000000000000014</c:v>
                </c:pt>
                <c:pt idx="19">
                  <c:v>4.75</c:v>
                </c:pt>
              </c:numCache>
            </c:numRef>
          </c:xVal>
          <c:yVal>
            <c:numRef>
              <c:f>'4_FCD-1'!$E$53:$E$72</c:f>
              <c:numCache>
                <c:formatCode>General</c:formatCode>
                <c:ptCount val="20"/>
                <c:pt idx="0">
                  <c:v>0</c:v>
                </c:pt>
                <c:pt idx="1">
                  <c:v>-0.01</c:v>
                </c:pt>
                <c:pt idx="2">
                  <c:v>0.1</c:v>
                </c:pt>
                <c:pt idx="3">
                  <c:v>0.28999999999999998</c:v>
                </c:pt>
                <c:pt idx="4">
                  <c:v>0.33</c:v>
                </c:pt>
                <c:pt idx="5">
                  <c:v>0.32</c:v>
                </c:pt>
                <c:pt idx="6">
                  <c:v>0.37</c:v>
                </c:pt>
                <c:pt idx="7">
                  <c:v>0.42</c:v>
                </c:pt>
                <c:pt idx="8">
                  <c:v>0.17</c:v>
                </c:pt>
                <c:pt idx="9">
                  <c:v>0.56999999999999995</c:v>
                </c:pt>
                <c:pt idx="10">
                  <c:v>0.84</c:v>
                </c:pt>
                <c:pt idx="11">
                  <c:v>0.73</c:v>
                </c:pt>
                <c:pt idx="12">
                  <c:v>0.76</c:v>
                </c:pt>
                <c:pt idx="13">
                  <c:v>0.78</c:v>
                </c:pt>
                <c:pt idx="14">
                  <c:v>1.01</c:v>
                </c:pt>
                <c:pt idx="15">
                  <c:v>1.1599999999999999</c:v>
                </c:pt>
                <c:pt idx="16">
                  <c:v>0.84</c:v>
                </c:pt>
                <c:pt idx="17">
                  <c:v>0.52</c:v>
                </c:pt>
                <c:pt idx="18">
                  <c:v>0.49</c:v>
                </c:pt>
                <c:pt idx="19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B34-4308-8927-BF0A04A56485}"/>
            </c:ext>
          </c:extLst>
        </c:ser>
        <c:ser>
          <c:idx val="0"/>
          <c:order val="2"/>
          <c:tx>
            <c:strRef>
              <c:f>'4_FCD-1'!$E$4</c:f>
              <c:strCache>
                <c:ptCount val="1"/>
                <c:pt idx="0">
                  <c:v>Velocity 
(m/s)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'4_FCD-1'!$B$6:$B$25</c:f>
              <c:numCache>
                <c:formatCode>General</c:formatCode>
                <c:ptCount val="2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1.5999999999999999</c:v>
                </c:pt>
                <c:pt idx="4">
                  <c:v>1.7999999999999998</c:v>
                </c:pt>
                <c:pt idx="5">
                  <c:v>1.9999999999999998</c:v>
                </c:pt>
                <c:pt idx="6">
                  <c:v>2.1999999999999997</c:v>
                </c:pt>
                <c:pt idx="7">
                  <c:v>2.4</c:v>
                </c:pt>
                <c:pt idx="8">
                  <c:v>2.6</c:v>
                </c:pt>
                <c:pt idx="9">
                  <c:v>2.8000000000000003</c:v>
                </c:pt>
                <c:pt idx="10">
                  <c:v>3.0000000000000004</c:v>
                </c:pt>
                <c:pt idx="11">
                  <c:v>3.2000000000000006</c:v>
                </c:pt>
                <c:pt idx="12">
                  <c:v>3.4000000000000008</c:v>
                </c:pt>
                <c:pt idx="13">
                  <c:v>3.600000000000001</c:v>
                </c:pt>
                <c:pt idx="14">
                  <c:v>3.8000000000000012</c:v>
                </c:pt>
                <c:pt idx="15">
                  <c:v>4.0000000000000009</c:v>
                </c:pt>
                <c:pt idx="16">
                  <c:v>4.2000000000000011</c:v>
                </c:pt>
                <c:pt idx="17">
                  <c:v>4.4000000000000012</c:v>
                </c:pt>
                <c:pt idx="18">
                  <c:v>4.6000000000000014</c:v>
                </c:pt>
                <c:pt idx="19">
                  <c:v>4.75</c:v>
                </c:pt>
              </c:numCache>
            </c:numRef>
          </c:xVal>
          <c:yVal>
            <c:numRef>
              <c:f>'4_FCD-1'!$E$6:$E$25</c:f>
              <c:numCache>
                <c:formatCode>General</c:formatCode>
                <c:ptCount val="20"/>
                <c:pt idx="0">
                  <c:v>0</c:v>
                </c:pt>
                <c:pt idx="1">
                  <c:v>0.01</c:v>
                </c:pt>
                <c:pt idx="2">
                  <c:v>0.08</c:v>
                </c:pt>
                <c:pt idx="3">
                  <c:v>0.35</c:v>
                </c:pt>
                <c:pt idx="4">
                  <c:v>0.26</c:v>
                </c:pt>
                <c:pt idx="5">
                  <c:v>0.34</c:v>
                </c:pt>
                <c:pt idx="6">
                  <c:v>0.36</c:v>
                </c:pt>
                <c:pt idx="7">
                  <c:v>0.59</c:v>
                </c:pt>
                <c:pt idx="8">
                  <c:v>0.14000000000000001</c:v>
                </c:pt>
                <c:pt idx="9">
                  <c:v>0.61</c:v>
                </c:pt>
                <c:pt idx="10">
                  <c:v>0.81</c:v>
                </c:pt>
                <c:pt idx="11">
                  <c:v>0.66</c:v>
                </c:pt>
                <c:pt idx="12">
                  <c:v>0.76</c:v>
                </c:pt>
                <c:pt idx="13">
                  <c:v>0.95</c:v>
                </c:pt>
                <c:pt idx="14">
                  <c:v>0.92</c:v>
                </c:pt>
                <c:pt idx="15">
                  <c:v>1.17</c:v>
                </c:pt>
                <c:pt idx="16">
                  <c:v>0.94</c:v>
                </c:pt>
                <c:pt idx="17">
                  <c:v>0.56000000000000005</c:v>
                </c:pt>
                <c:pt idx="18">
                  <c:v>0.46</c:v>
                </c:pt>
                <c:pt idx="19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B34-4308-8927-BF0A04A56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68048"/>
        <c:axId val="213768440"/>
      </c:scatterChart>
      <c:valAx>
        <c:axId val="2137680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68440"/>
        <c:crosses val="autoZero"/>
        <c:crossBetween val="midCat"/>
      </c:valAx>
      <c:valAx>
        <c:axId val="213768440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680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513835813772666E-2"/>
          <c:y val="1.4123972403989849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'4_FCD-1'!$G$28</c:f>
              <c:strCache>
                <c:ptCount val="1"/>
                <c:pt idx="0">
                  <c:v>Discharge (m3/s)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'4_FCD-1'!$B$29:$B$49</c:f>
              <c:numCache>
                <c:formatCode>General</c:formatCode>
                <c:ptCount val="21"/>
                <c:pt idx="0">
                  <c:v>1</c:v>
                </c:pt>
                <c:pt idx="1">
                  <c:v>1.1000000000000001</c:v>
                </c:pt>
                <c:pt idx="2">
                  <c:v>1.3</c:v>
                </c:pt>
                <c:pt idx="3">
                  <c:v>1.5</c:v>
                </c:pt>
                <c:pt idx="4">
                  <c:v>1.7</c:v>
                </c:pt>
                <c:pt idx="5">
                  <c:v>1.9</c:v>
                </c:pt>
                <c:pt idx="6">
                  <c:v>2.1</c:v>
                </c:pt>
                <c:pt idx="7">
                  <c:v>2.3000000000000003</c:v>
                </c:pt>
                <c:pt idx="8">
                  <c:v>2.5000000000000004</c:v>
                </c:pt>
                <c:pt idx="9">
                  <c:v>2.7000000000000006</c:v>
                </c:pt>
                <c:pt idx="10">
                  <c:v>2.9000000000000008</c:v>
                </c:pt>
                <c:pt idx="11">
                  <c:v>3.100000000000001</c:v>
                </c:pt>
                <c:pt idx="12">
                  <c:v>3.3000000000000012</c:v>
                </c:pt>
                <c:pt idx="13">
                  <c:v>3.5000000000000013</c:v>
                </c:pt>
                <c:pt idx="14">
                  <c:v>3.7000000000000015</c:v>
                </c:pt>
                <c:pt idx="15">
                  <c:v>3.9000000000000017</c:v>
                </c:pt>
                <c:pt idx="16">
                  <c:v>4.1000000000000014</c:v>
                </c:pt>
                <c:pt idx="17">
                  <c:v>4.3000000000000016</c:v>
                </c:pt>
                <c:pt idx="18">
                  <c:v>4.5000000000000018</c:v>
                </c:pt>
                <c:pt idx="19">
                  <c:v>4.7</c:v>
                </c:pt>
                <c:pt idx="20">
                  <c:v>4.75</c:v>
                </c:pt>
              </c:numCache>
            </c:numRef>
          </c:xVal>
          <c:yVal>
            <c:numRef>
              <c:f>'4_FCD-1'!$G$29:$G$49</c:f>
              <c:numCache>
                <c:formatCode>0.00</c:formatCode>
                <c:ptCount val="21"/>
                <c:pt idx="0">
                  <c:v>-9.5245352026821169E-6</c:v>
                </c:pt>
                <c:pt idx="1">
                  <c:v>-1.1429442243218532E-4</c:v>
                </c:pt>
                <c:pt idx="2">
                  <c:v>2.1334958854007919E-4</c:v>
                </c:pt>
                <c:pt idx="3">
                  <c:v>2.7430661383724465E-3</c:v>
                </c:pt>
                <c:pt idx="4">
                  <c:v>9.0216397439804915E-3</c:v>
                </c:pt>
                <c:pt idx="5">
                  <c:v>6.9491008838768681E-3</c:v>
                </c:pt>
                <c:pt idx="6">
                  <c:v>5.3642182261505683E-3</c:v>
                </c:pt>
                <c:pt idx="7">
                  <c:v>9.5092959463578246E-3</c:v>
                </c:pt>
                <c:pt idx="8">
                  <c:v>4.0231636696129256E-3</c:v>
                </c:pt>
                <c:pt idx="9">
                  <c:v>1.4324900944833904E-2</c:v>
                </c:pt>
                <c:pt idx="10">
                  <c:v>1.9780554708930222E-2</c:v>
                </c:pt>
                <c:pt idx="11">
                  <c:v>2.9716549832368204E-2</c:v>
                </c:pt>
                <c:pt idx="12">
                  <c:v>2.8527887839073476E-2</c:v>
                </c:pt>
                <c:pt idx="13">
                  <c:v>4.2426089606827221E-2</c:v>
                </c:pt>
                <c:pt idx="14">
                  <c:v>4.3340444986284712E-2</c:v>
                </c:pt>
                <c:pt idx="15">
                  <c:v>5.0350502895458685E-2</c:v>
                </c:pt>
                <c:pt idx="16">
                  <c:v>5.3032612008533965E-2</c:v>
                </c:pt>
                <c:pt idx="17">
                  <c:v>3.7061871380676653E-2</c:v>
                </c:pt>
                <c:pt idx="18">
                  <c:v>1.1703748857055734E-2</c:v>
                </c:pt>
                <c:pt idx="19">
                  <c:v>1.0667479427003886E-2</c:v>
                </c:pt>
                <c:pt idx="20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2CD-4C5F-9732-9AD37C3E86F4}"/>
            </c:ext>
          </c:extLst>
        </c:ser>
        <c:ser>
          <c:idx val="1"/>
          <c:order val="1"/>
          <c:tx>
            <c:strRef>
              <c:f>'4_FCD-1'!$G$52</c:f>
              <c:strCache>
                <c:ptCount val="1"/>
                <c:pt idx="0">
                  <c:v>Discharge (m3/s)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'4_FCD-1'!$B$53:$B$72</c:f>
              <c:numCache>
                <c:formatCode>General</c:formatCode>
                <c:ptCount val="2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1.5999999999999999</c:v>
                </c:pt>
                <c:pt idx="4">
                  <c:v>1.7999999999999998</c:v>
                </c:pt>
                <c:pt idx="5">
                  <c:v>1.9999999999999998</c:v>
                </c:pt>
                <c:pt idx="6">
                  <c:v>2.1999999999999997</c:v>
                </c:pt>
                <c:pt idx="7">
                  <c:v>2.4</c:v>
                </c:pt>
                <c:pt idx="8">
                  <c:v>2.6</c:v>
                </c:pt>
                <c:pt idx="9">
                  <c:v>2.8000000000000003</c:v>
                </c:pt>
                <c:pt idx="10">
                  <c:v>3.0000000000000004</c:v>
                </c:pt>
                <c:pt idx="11">
                  <c:v>3.2000000000000006</c:v>
                </c:pt>
                <c:pt idx="12">
                  <c:v>3.4000000000000008</c:v>
                </c:pt>
                <c:pt idx="13">
                  <c:v>3.600000000000001</c:v>
                </c:pt>
                <c:pt idx="14">
                  <c:v>3.8000000000000012</c:v>
                </c:pt>
                <c:pt idx="15">
                  <c:v>4.0000000000000009</c:v>
                </c:pt>
                <c:pt idx="16">
                  <c:v>4.2000000000000011</c:v>
                </c:pt>
                <c:pt idx="17">
                  <c:v>4.4000000000000012</c:v>
                </c:pt>
                <c:pt idx="18">
                  <c:v>4.6000000000000014</c:v>
                </c:pt>
                <c:pt idx="19">
                  <c:v>4.75</c:v>
                </c:pt>
              </c:numCache>
            </c:numRef>
          </c:xVal>
          <c:yVal>
            <c:numRef>
              <c:f>'4_FCD-1'!$G$53:$G$72</c:f>
              <c:numCache>
                <c:formatCode>0.00</c:formatCode>
                <c:ptCount val="20"/>
                <c:pt idx="0">
                  <c:v>-2.6668698567509898E-5</c:v>
                </c:pt>
                <c:pt idx="1">
                  <c:v>-2.1334958854007919E-4</c:v>
                </c:pt>
                <c:pt idx="2">
                  <c:v>1.523925632429137E-3</c:v>
                </c:pt>
                <c:pt idx="3">
                  <c:v>7.0710149344711953E-3</c:v>
                </c:pt>
                <c:pt idx="4">
                  <c:v>9.0521182566290753E-3</c:v>
                </c:pt>
                <c:pt idx="5">
                  <c:v>6.827186833282534E-3</c:v>
                </c:pt>
                <c:pt idx="6">
                  <c:v>9.0216397439804967E-3</c:v>
                </c:pt>
                <c:pt idx="7">
                  <c:v>7.6805851874428583E-3</c:v>
                </c:pt>
                <c:pt idx="8">
                  <c:v>6.2176165803108857E-3</c:v>
                </c:pt>
                <c:pt idx="9">
                  <c:v>1.9110027430661401E-2</c:v>
                </c:pt>
                <c:pt idx="10">
                  <c:v>3.0722340749771433E-2</c:v>
                </c:pt>
                <c:pt idx="11">
                  <c:v>2.8924108503505051E-2</c:v>
                </c:pt>
                <c:pt idx="12">
                  <c:v>3.2429137458092068E-2</c:v>
                </c:pt>
                <c:pt idx="13">
                  <c:v>4.0414507772020755E-2</c:v>
                </c:pt>
                <c:pt idx="14">
                  <c:v>4.6174946662602856E-2</c:v>
                </c:pt>
                <c:pt idx="15">
                  <c:v>5.3032612008533965E-2</c:v>
                </c:pt>
                <c:pt idx="16">
                  <c:v>3.0722340749771433E-2</c:v>
                </c:pt>
                <c:pt idx="17">
                  <c:v>2.6943005181347172E-2</c:v>
                </c:pt>
                <c:pt idx="18">
                  <c:v>1.0454129838463845E-2</c:v>
                </c:pt>
                <c:pt idx="19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2CD-4C5F-9732-9AD37C3E86F4}"/>
            </c:ext>
          </c:extLst>
        </c:ser>
        <c:ser>
          <c:idx val="0"/>
          <c:order val="2"/>
          <c:tx>
            <c:strRef>
              <c:f>'4_FCD-1'!$G$4</c:f>
              <c:strCache>
                <c:ptCount val="1"/>
                <c:pt idx="0">
                  <c:v>Discharge 
(m3/s)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'4_FCD-1'!$B$6:$B$25</c:f>
              <c:numCache>
                <c:formatCode>General</c:formatCode>
                <c:ptCount val="2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1.5999999999999999</c:v>
                </c:pt>
                <c:pt idx="4">
                  <c:v>1.7999999999999998</c:v>
                </c:pt>
                <c:pt idx="5">
                  <c:v>1.9999999999999998</c:v>
                </c:pt>
                <c:pt idx="6">
                  <c:v>2.1999999999999997</c:v>
                </c:pt>
                <c:pt idx="7">
                  <c:v>2.4</c:v>
                </c:pt>
                <c:pt idx="8">
                  <c:v>2.6</c:v>
                </c:pt>
                <c:pt idx="9">
                  <c:v>2.8000000000000003</c:v>
                </c:pt>
                <c:pt idx="10">
                  <c:v>3.0000000000000004</c:v>
                </c:pt>
                <c:pt idx="11">
                  <c:v>3.2000000000000006</c:v>
                </c:pt>
                <c:pt idx="12">
                  <c:v>3.4000000000000008</c:v>
                </c:pt>
                <c:pt idx="13">
                  <c:v>3.600000000000001</c:v>
                </c:pt>
                <c:pt idx="14">
                  <c:v>3.8000000000000012</c:v>
                </c:pt>
                <c:pt idx="15">
                  <c:v>4.0000000000000009</c:v>
                </c:pt>
                <c:pt idx="16">
                  <c:v>4.2000000000000011</c:v>
                </c:pt>
                <c:pt idx="17">
                  <c:v>4.4000000000000012</c:v>
                </c:pt>
                <c:pt idx="18">
                  <c:v>4.6000000000000014</c:v>
                </c:pt>
                <c:pt idx="19">
                  <c:v>4.75</c:v>
                </c:pt>
              </c:numCache>
            </c:numRef>
          </c:xVal>
          <c:yVal>
            <c:numRef>
              <c:f>'4_FCD-1'!$G$6:$G$25</c:f>
              <c:numCache>
                <c:formatCode>0.000</c:formatCode>
                <c:ptCount val="20"/>
                <c:pt idx="0" formatCode="0.00">
                  <c:v>3.0478512648582742E-5</c:v>
                </c:pt>
                <c:pt idx="1">
                  <c:v>2.4382810118866194E-4</c:v>
                </c:pt>
                <c:pt idx="2">
                  <c:v>1.2191405059433097E-3</c:v>
                </c:pt>
                <c:pt idx="3">
                  <c:v>8.533983541603167E-3</c:v>
                </c:pt>
                <c:pt idx="4">
                  <c:v>7.131971959768362E-3</c:v>
                </c:pt>
                <c:pt idx="5">
                  <c:v>7.2538860103626927E-3</c:v>
                </c:pt>
                <c:pt idx="6">
                  <c:v>8.7778116427918336E-3</c:v>
                </c:pt>
                <c:pt idx="7">
                  <c:v>1.2587625723864683E-2</c:v>
                </c:pt>
                <c:pt idx="8">
                  <c:v>4.6936909478817483E-3</c:v>
                </c:pt>
                <c:pt idx="9">
                  <c:v>2.2310271258762587E-2</c:v>
                </c:pt>
                <c:pt idx="10">
                  <c:v>2.9625114294422456E-2</c:v>
                </c:pt>
                <c:pt idx="11">
                  <c:v>2.6150563852484019E-2</c:v>
                </c:pt>
                <c:pt idx="12">
                  <c:v>3.7061871380676653E-2</c:v>
                </c:pt>
                <c:pt idx="13">
                  <c:v>5.2118256629076543E-2</c:v>
                </c:pt>
                <c:pt idx="14">
                  <c:v>4.2060347455044188E-2</c:v>
                </c:pt>
                <c:pt idx="15">
                  <c:v>5.7055775678146889E-2</c:v>
                </c:pt>
                <c:pt idx="16">
                  <c:v>3.4379762267601366E-2</c:v>
                </c:pt>
                <c:pt idx="17">
                  <c:v>3.072234074977144E-2</c:v>
                </c:pt>
                <c:pt idx="18">
                  <c:v>9.8140810728436102E-3</c:v>
                </c:pt>
                <c:pt idx="19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2CD-4C5F-9732-9AD37C3E8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3331352"/>
        <c:axId val="673331744"/>
      </c:scatterChart>
      <c:valAx>
        <c:axId val="673331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31744"/>
        <c:crosses val="autoZero"/>
        <c:crossBetween val="midCat"/>
      </c:valAx>
      <c:valAx>
        <c:axId val="67333174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31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'5_FCD-2'!$C$30</c:f>
              <c:strCache>
                <c:ptCount val="1"/>
                <c:pt idx="0">
                  <c:v>Depth (ft)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'5_FCD-2'!$B$31:$B$52</c:f>
              <c:numCache>
                <c:formatCode>General</c:formatCode>
                <c:ptCount val="22"/>
                <c:pt idx="0">
                  <c:v>1.2</c:v>
                </c:pt>
                <c:pt idx="1">
                  <c:v>1.4</c:v>
                </c:pt>
                <c:pt idx="2">
                  <c:v>1.65</c:v>
                </c:pt>
                <c:pt idx="3">
                  <c:v>1.9</c:v>
                </c:pt>
                <c:pt idx="4">
                  <c:v>2.15</c:v>
                </c:pt>
                <c:pt idx="5">
                  <c:v>2.4</c:v>
                </c:pt>
                <c:pt idx="6">
                  <c:v>2.65</c:v>
                </c:pt>
                <c:pt idx="7">
                  <c:v>2.9</c:v>
                </c:pt>
                <c:pt idx="8">
                  <c:v>3.15</c:v>
                </c:pt>
                <c:pt idx="9">
                  <c:v>3.4</c:v>
                </c:pt>
                <c:pt idx="10">
                  <c:v>3.65</c:v>
                </c:pt>
                <c:pt idx="11">
                  <c:v>3.9</c:v>
                </c:pt>
                <c:pt idx="12">
                  <c:v>4.1500000000000004</c:v>
                </c:pt>
                <c:pt idx="13">
                  <c:v>4.4000000000000004</c:v>
                </c:pt>
                <c:pt idx="14">
                  <c:v>4.6500000000000004</c:v>
                </c:pt>
                <c:pt idx="15">
                  <c:v>4.9000000000000004</c:v>
                </c:pt>
                <c:pt idx="16">
                  <c:v>5.15</c:v>
                </c:pt>
                <c:pt idx="17">
                  <c:v>5.4</c:v>
                </c:pt>
                <c:pt idx="18">
                  <c:v>5.65</c:v>
                </c:pt>
                <c:pt idx="19">
                  <c:v>5.9</c:v>
                </c:pt>
                <c:pt idx="20">
                  <c:v>6.15</c:v>
                </c:pt>
                <c:pt idx="21">
                  <c:v>6.4</c:v>
                </c:pt>
              </c:numCache>
            </c:numRef>
          </c:xVal>
          <c:yVal>
            <c:numRef>
              <c:f>'5_FCD-2'!$C$31:$C$52</c:f>
              <c:numCache>
                <c:formatCode>General</c:formatCode>
                <c:ptCount val="22"/>
                <c:pt idx="0">
                  <c:v>0</c:v>
                </c:pt>
                <c:pt idx="1">
                  <c:v>0.25</c:v>
                </c:pt>
                <c:pt idx="2">
                  <c:v>0.45</c:v>
                </c:pt>
                <c:pt idx="3">
                  <c:v>0.7</c:v>
                </c:pt>
                <c:pt idx="4">
                  <c:v>0.95</c:v>
                </c:pt>
                <c:pt idx="5">
                  <c:v>0.95</c:v>
                </c:pt>
                <c:pt idx="6">
                  <c:v>0.8</c:v>
                </c:pt>
                <c:pt idx="7">
                  <c:v>0.7</c:v>
                </c:pt>
                <c:pt idx="8">
                  <c:v>0.85</c:v>
                </c:pt>
                <c:pt idx="9">
                  <c:v>0.7</c:v>
                </c:pt>
                <c:pt idx="10">
                  <c:v>0.8</c:v>
                </c:pt>
                <c:pt idx="11">
                  <c:v>0.85</c:v>
                </c:pt>
                <c:pt idx="12">
                  <c:v>0.9</c:v>
                </c:pt>
                <c:pt idx="13">
                  <c:v>0.95</c:v>
                </c:pt>
                <c:pt idx="14">
                  <c:v>1</c:v>
                </c:pt>
                <c:pt idx="15">
                  <c:v>1.05</c:v>
                </c:pt>
                <c:pt idx="16">
                  <c:v>0.95</c:v>
                </c:pt>
                <c:pt idx="17">
                  <c:v>0.9</c:v>
                </c:pt>
                <c:pt idx="18">
                  <c:v>0.7</c:v>
                </c:pt>
                <c:pt idx="19">
                  <c:v>0.65</c:v>
                </c:pt>
                <c:pt idx="20">
                  <c:v>0.4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518-4D72-9010-431D1D143F7A}"/>
            </c:ext>
          </c:extLst>
        </c:ser>
        <c:ser>
          <c:idx val="1"/>
          <c:order val="1"/>
          <c:tx>
            <c:strRef>
              <c:f>'5_FCD-2'!$C$54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'5_FCD-2'!$B$56:$B$75</c:f>
              <c:numCache>
                <c:formatCode>General</c:formatCode>
                <c:ptCount val="20"/>
              </c:numCache>
            </c:numRef>
          </c:xVal>
          <c:yVal>
            <c:numRef>
              <c:f>'5_FCD-2'!$C$56:$C$75</c:f>
              <c:numCache>
                <c:formatCode>General</c:formatCode>
                <c:ptCount val="20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518-4D72-9010-431D1D143F7A}"/>
            </c:ext>
          </c:extLst>
        </c:ser>
        <c:ser>
          <c:idx val="0"/>
          <c:order val="2"/>
          <c:tx>
            <c:strRef>
              <c:f>'5_FCD-2'!$C$4</c:f>
              <c:strCache>
                <c:ptCount val="1"/>
                <c:pt idx="0">
                  <c:v>Depth 
(ft)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'5_FCD-2'!$B$6:$B$27</c:f>
              <c:numCache>
                <c:formatCode>General</c:formatCode>
                <c:ptCount val="22"/>
                <c:pt idx="0">
                  <c:v>1.2</c:v>
                </c:pt>
                <c:pt idx="1">
                  <c:v>1.55</c:v>
                </c:pt>
                <c:pt idx="2">
                  <c:v>1.8</c:v>
                </c:pt>
                <c:pt idx="3">
                  <c:v>2.0499999999999998</c:v>
                </c:pt>
                <c:pt idx="4">
                  <c:v>2.2999999999999998</c:v>
                </c:pt>
                <c:pt idx="5">
                  <c:v>2.5499999999999998</c:v>
                </c:pt>
                <c:pt idx="6">
                  <c:v>2.8</c:v>
                </c:pt>
                <c:pt idx="7">
                  <c:v>3.05</c:v>
                </c:pt>
                <c:pt idx="8">
                  <c:v>3.3</c:v>
                </c:pt>
                <c:pt idx="9">
                  <c:v>3.55</c:v>
                </c:pt>
                <c:pt idx="10">
                  <c:v>3.8</c:v>
                </c:pt>
                <c:pt idx="11">
                  <c:v>4.05</c:v>
                </c:pt>
                <c:pt idx="12">
                  <c:v>4.3</c:v>
                </c:pt>
                <c:pt idx="13">
                  <c:v>4.55</c:v>
                </c:pt>
                <c:pt idx="14">
                  <c:v>4.8</c:v>
                </c:pt>
                <c:pt idx="15">
                  <c:v>5.05</c:v>
                </c:pt>
                <c:pt idx="16">
                  <c:v>5.3</c:v>
                </c:pt>
                <c:pt idx="17">
                  <c:v>5.55</c:v>
                </c:pt>
                <c:pt idx="18">
                  <c:v>5.8</c:v>
                </c:pt>
                <c:pt idx="19">
                  <c:v>6.05</c:v>
                </c:pt>
                <c:pt idx="20">
                  <c:v>6.3</c:v>
                </c:pt>
                <c:pt idx="21">
                  <c:v>6.4</c:v>
                </c:pt>
              </c:numCache>
            </c:numRef>
          </c:xVal>
          <c:yVal>
            <c:numRef>
              <c:f>'5_FCD-2'!$C$6:$C$27</c:f>
              <c:numCache>
                <c:formatCode>General</c:formatCode>
                <c:ptCount val="22"/>
                <c:pt idx="0">
                  <c:v>0</c:v>
                </c:pt>
                <c:pt idx="1">
                  <c:v>0.4</c:v>
                </c:pt>
                <c:pt idx="2">
                  <c:v>0.6</c:v>
                </c:pt>
                <c:pt idx="3">
                  <c:v>0.85</c:v>
                </c:pt>
                <c:pt idx="4">
                  <c:v>0.9</c:v>
                </c:pt>
                <c:pt idx="5">
                  <c:v>0.85</c:v>
                </c:pt>
                <c:pt idx="6">
                  <c:v>0.6</c:v>
                </c:pt>
                <c:pt idx="7">
                  <c:v>0.75</c:v>
                </c:pt>
                <c:pt idx="8">
                  <c:v>0.65</c:v>
                </c:pt>
                <c:pt idx="9">
                  <c:v>0.75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0.95</c:v>
                </c:pt>
                <c:pt idx="14">
                  <c:v>1</c:v>
                </c:pt>
                <c:pt idx="15">
                  <c:v>0.95</c:v>
                </c:pt>
                <c:pt idx="16">
                  <c:v>0.9</c:v>
                </c:pt>
                <c:pt idx="17">
                  <c:v>0.8</c:v>
                </c:pt>
                <c:pt idx="18">
                  <c:v>0.7</c:v>
                </c:pt>
                <c:pt idx="19">
                  <c:v>0.6</c:v>
                </c:pt>
                <c:pt idx="20">
                  <c:v>0.2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518-4D72-9010-431D1D143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3334096"/>
        <c:axId val="673334488"/>
      </c:scatterChart>
      <c:valAx>
        <c:axId val="6733340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34488"/>
        <c:crosses val="autoZero"/>
        <c:crossBetween val="midCat"/>
      </c:valAx>
      <c:valAx>
        <c:axId val="673334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340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292631358088013E-2"/>
          <c:y val="8.60193984341516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'5_FCD-2'!$E$30</c:f>
              <c:strCache>
                <c:ptCount val="1"/>
                <c:pt idx="0">
                  <c:v>Velocity (m/s)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'5_FCD-2'!$B$31:$B$52</c:f>
              <c:numCache>
                <c:formatCode>General</c:formatCode>
                <c:ptCount val="22"/>
                <c:pt idx="0">
                  <c:v>1.2</c:v>
                </c:pt>
                <c:pt idx="1">
                  <c:v>1.4</c:v>
                </c:pt>
                <c:pt idx="2">
                  <c:v>1.65</c:v>
                </c:pt>
                <c:pt idx="3">
                  <c:v>1.9</c:v>
                </c:pt>
                <c:pt idx="4">
                  <c:v>2.15</c:v>
                </c:pt>
                <c:pt idx="5">
                  <c:v>2.4</c:v>
                </c:pt>
                <c:pt idx="6">
                  <c:v>2.65</c:v>
                </c:pt>
                <c:pt idx="7">
                  <c:v>2.9</c:v>
                </c:pt>
                <c:pt idx="8">
                  <c:v>3.15</c:v>
                </c:pt>
                <c:pt idx="9">
                  <c:v>3.4</c:v>
                </c:pt>
                <c:pt idx="10">
                  <c:v>3.65</c:v>
                </c:pt>
                <c:pt idx="11">
                  <c:v>3.9</c:v>
                </c:pt>
                <c:pt idx="12">
                  <c:v>4.1500000000000004</c:v>
                </c:pt>
                <c:pt idx="13">
                  <c:v>4.4000000000000004</c:v>
                </c:pt>
                <c:pt idx="14">
                  <c:v>4.6500000000000004</c:v>
                </c:pt>
                <c:pt idx="15">
                  <c:v>4.9000000000000004</c:v>
                </c:pt>
                <c:pt idx="16">
                  <c:v>5.15</c:v>
                </c:pt>
                <c:pt idx="17">
                  <c:v>5.4</c:v>
                </c:pt>
                <c:pt idx="18">
                  <c:v>5.65</c:v>
                </c:pt>
                <c:pt idx="19">
                  <c:v>5.9</c:v>
                </c:pt>
                <c:pt idx="20">
                  <c:v>6.15</c:v>
                </c:pt>
                <c:pt idx="21">
                  <c:v>6.4</c:v>
                </c:pt>
              </c:numCache>
            </c:numRef>
          </c:xVal>
          <c:yVal>
            <c:numRef>
              <c:f>'5_FCD-2'!$E$31:$E$52</c:f>
              <c:numCache>
                <c:formatCode>General</c:formatCode>
                <c:ptCount val="22"/>
                <c:pt idx="0">
                  <c:v>0</c:v>
                </c:pt>
                <c:pt idx="1">
                  <c:v>-0.03</c:v>
                </c:pt>
                <c:pt idx="2">
                  <c:v>0.25</c:v>
                </c:pt>
                <c:pt idx="3">
                  <c:v>0.15</c:v>
                </c:pt>
                <c:pt idx="4">
                  <c:v>0.28999999999999998</c:v>
                </c:pt>
                <c:pt idx="5">
                  <c:v>0.18</c:v>
                </c:pt>
                <c:pt idx="6">
                  <c:v>0.3</c:v>
                </c:pt>
                <c:pt idx="7">
                  <c:v>0.42</c:v>
                </c:pt>
                <c:pt idx="8">
                  <c:v>0.46</c:v>
                </c:pt>
                <c:pt idx="9">
                  <c:v>0.46</c:v>
                </c:pt>
                <c:pt idx="10">
                  <c:v>0.37</c:v>
                </c:pt>
                <c:pt idx="11">
                  <c:v>0.45</c:v>
                </c:pt>
                <c:pt idx="12">
                  <c:v>0.37</c:v>
                </c:pt>
                <c:pt idx="13">
                  <c:v>0.36</c:v>
                </c:pt>
                <c:pt idx="14">
                  <c:v>0.41</c:v>
                </c:pt>
                <c:pt idx="15">
                  <c:v>0.42</c:v>
                </c:pt>
                <c:pt idx="16">
                  <c:v>0.44</c:v>
                </c:pt>
                <c:pt idx="17">
                  <c:v>0.32</c:v>
                </c:pt>
                <c:pt idx="18">
                  <c:v>0.39</c:v>
                </c:pt>
                <c:pt idx="19">
                  <c:v>0.19</c:v>
                </c:pt>
                <c:pt idx="20">
                  <c:v>7.0000000000000007E-2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215-4AAB-ABB7-B0D6331D0F13}"/>
            </c:ext>
          </c:extLst>
        </c:ser>
        <c:ser>
          <c:idx val="1"/>
          <c:order val="1"/>
          <c:tx>
            <c:strRef>
              <c:f>'5_FCD-2'!$E$54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'5_FCD-2'!$B$56:$B$75</c:f>
              <c:numCache>
                <c:formatCode>General</c:formatCode>
                <c:ptCount val="20"/>
              </c:numCache>
            </c:numRef>
          </c:xVal>
          <c:yVal>
            <c:numRef>
              <c:f>'5_FCD-2'!$E$56:$E$75</c:f>
              <c:numCache>
                <c:formatCode>General</c:formatCode>
                <c:ptCount val="20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215-4AAB-ABB7-B0D6331D0F13}"/>
            </c:ext>
          </c:extLst>
        </c:ser>
        <c:ser>
          <c:idx val="0"/>
          <c:order val="2"/>
          <c:tx>
            <c:strRef>
              <c:f>'5_FCD-2'!$E$4</c:f>
              <c:strCache>
                <c:ptCount val="1"/>
                <c:pt idx="0">
                  <c:v>Velocity 
(m/s)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'5_FCD-2'!$B$6:$B$27</c:f>
              <c:numCache>
                <c:formatCode>General</c:formatCode>
                <c:ptCount val="22"/>
                <c:pt idx="0">
                  <c:v>1.2</c:v>
                </c:pt>
                <c:pt idx="1">
                  <c:v>1.55</c:v>
                </c:pt>
                <c:pt idx="2">
                  <c:v>1.8</c:v>
                </c:pt>
                <c:pt idx="3">
                  <c:v>2.0499999999999998</c:v>
                </c:pt>
                <c:pt idx="4">
                  <c:v>2.2999999999999998</c:v>
                </c:pt>
                <c:pt idx="5">
                  <c:v>2.5499999999999998</c:v>
                </c:pt>
                <c:pt idx="6">
                  <c:v>2.8</c:v>
                </c:pt>
                <c:pt idx="7">
                  <c:v>3.05</c:v>
                </c:pt>
                <c:pt idx="8">
                  <c:v>3.3</c:v>
                </c:pt>
                <c:pt idx="9">
                  <c:v>3.55</c:v>
                </c:pt>
                <c:pt idx="10">
                  <c:v>3.8</c:v>
                </c:pt>
                <c:pt idx="11">
                  <c:v>4.05</c:v>
                </c:pt>
                <c:pt idx="12">
                  <c:v>4.3</c:v>
                </c:pt>
                <c:pt idx="13">
                  <c:v>4.55</c:v>
                </c:pt>
                <c:pt idx="14">
                  <c:v>4.8</c:v>
                </c:pt>
                <c:pt idx="15">
                  <c:v>5.05</c:v>
                </c:pt>
                <c:pt idx="16">
                  <c:v>5.3</c:v>
                </c:pt>
                <c:pt idx="17">
                  <c:v>5.55</c:v>
                </c:pt>
                <c:pt idx="18">
                  <c:v>5.8</c:v>
                </c:pt>
                <c:pt idx="19">
                  <c:v>6.05</c:v>
                </c:pt>
                <c:pt idx="20">
                  <c:v>6.3</c:v>
                </c:pt>
                <c:pt idx="21">
                  <c:v>6.4</c:v>
                </c:pt>
              </c:numCache>
            </c:numRef>
          </c:xVal>
          <c:yVal>
            <c:numRef>
              <c:f>'5_FCD-2'!$E$6:$E$27</c:f>
              <c:numCache>
                <c:formatCode>General</c:formatCode>
                <c:ptCount val="22"/>
                <c:pt idx="0">
                  <c:v>0</c:v>
                </c:pt>
                <c:pt idx="1">
                  <c:v>0.1</c:v>
                </c:pt>
                <c:pt idx="2">
                  <c:v>0.22</c:v>
                </c:pt>
                <c:pt idx="3">
                  <c:v>0.37</c:v>
                </c:pt>
                <c:pt idx="4">
                  <c:v>0.21</c:v>
                </c:pt>
                <c:pt idx="5">
                  <c:v>0.23</c:v>
                </c:pt>
                <c:pt idx="6">
                  <c:v>0.47</c:v>
                </c:pt>
                <c:pt idx="7">
                  <c:v>0.46</c:v>
                </c:pt>
                <c:pt idx="8">
                  <c:v>0.38</c:v>
                </c:pt>
                <c:pt idx="9">
                  <c:v>0.4</c:v>
                </c:pt>
                <c:pt idx="10">
                  <c:v>0.38</c:v>
                </c:pt>
                <c:pt idx="11">
                  <c:v>0.43</c:v>
                </c:pt>
                <c:pt idx="12">
                  <c:v>0.35</c:v>
                </c:pt>
                <c:pt idx="13">
                  <c:v>0.36</c:v>
                </c:pt>
                <c:pt idx="14">
                  <c:v>0.39</c:v>
                </c:pt>
                <c:pt idx="15">
                  <c:v>0.43</c:v>
                </c:pt>
                <c:pt idx="16">
                  <c:v>0.35</c:v>
                </c:pt>
                <c:pt idx="17">
                  <c:v>0.32</c:v>
                </c:pt>
                <c:pt idx="18">
                  <c:v>0.27</c:v>
                </c:pt>
                <c:pt idx="19">
                  <c:v>0.12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215-4AAB-ABB7-B0D6331D0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3396288"/>
        <c:axId val="673396680"/>
      </c:scatterChart>
      <c:valAx>
        <c:axId val="6733962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96680"/>
        <c:crosses val="autoZero"/>
        <c:crossBetween val="midCat"/>
      </c:valAx>
      <c:valAx>
        <c:axId val="673396680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96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513835813772666E-2"/>
          <c:y val="1.4123972403989849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'5_FCD-2'!$G$30</c:f>
              <c:strCache>
                <c:ptCount val="1"/>
                <c:pt idx="0">
                  <c:v>Discharge (m3/s)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'5_FCD-2'!$B$31:$B$52</c:f>
              <c:numCache>
                <c:formatCode>General</c:formatCode>
                <c:ptCount val="22"/>
                <c:pt idx="0">
                  <c:v>1.2</c:v>
                </c:pt>
                <c:pt idx="1">
                  <c:v>1.4</c:v>
                </c:pt>
                <c:pt idx="2">
                  <c:v>1.65</c:v>
                </c:pt>
                <c:pt idx="3">
                  <c:v>1.9</c:v>
                </c:pt>
                <c:pt idx="4">
                  <c:v>2.15</c:v>
                </c:pt>
                <c:pt idx="5">
                  <c:v>2.4</c:v>
                </c:pt>
                <c:pt idx="6">
                  <c:v>2.65</c:v>
                </c:pt>
                <c:pt idx="7">
                  <c:v>2.9</c:v>
                </c:pt>
                <c:pt idx="8">
                  <c:v>3.15</c:v>
                </c:pt>
                <c:pt idx="9">
                  <c:v>3.4</c:v>
                </c:pt>
                <c:pt idx="10">
                  <c:v>3.65</c:v>
                </c:pt>
                <c:pt idx="11">
                  <c:v>3.9</c:v>
                </c:pt>
                <c:pt idx="12">
                  <c:v>4.1500000000000004</c:v>
                </c:pt>
                <c:pt idx="13">
                  <c:v>4.4000000000000004</c:v>
                </c:pt>
                <c:pt idx="14">
                  <c:v>4.6500000000000004</c:v>
                </c:pt>
                <c:pt idx="15">
                  <c:v>4.9000000000000004</c:v>
                </c:pt>
                <c:pt idx="16">
                  <c:v>5.15</c:v>
                </c:pt>
                <c:pt idx="17">
                  <c:v>5.4</c:v>
                </c:pt>
                <c:pt idx="18">
                  <c:v>5.65</c:v>
                </c:pt>
                <c:pt idx="19">
                  <c:v>5.9</c:v>
                </c:pt>
                <c:pt idx="20">
                  <c:v>6.15</c:v>
                </c:pt>
                <c:pt idx="21">
                  <c:v>6.4</c:v>
                </c:pt>
              </c:numCache>
            </c:numRef>
          </c:xVal>
          <c:yVal>
            <c:numRef>
              <c:f>'5_FCD-2'!$G$31:$G$52</c:f>
              <c:numCache>
                <c:formatCode>0.000</c:formatCode>
                <c:ptCount val="22"/>
                <c:pt idx="0">
                  <c:v>-5.7147211216092631E-5</c:v>
                </c:pt>
                <c:pt idx="1">
                  <c:v>-5.1432490094483374E-4</c:v>
                </c:pt>
                <c:pt idx="2">
                  <c:v>8.5720816824138985E-3</c:v>
                </c:pt>
                <c:pt idx="3">
                  <c:v>8.0006095702529704E-3</c:v>
                </c:pt>
                <c:pt idx="4">
                  <c:v>2.0992075586711366E-2</c:v>
                </c:pt>
                <c:pt idx="5">
                  <c:v>1.3029564157269123E-2</c:v>
                </c:pt>
                <c:pt idx="6">
                  <c:v>1.828710758914965E-2</c:v>
                </c:pt>
                <c:pt idx="7">
                  <c:v>2.2401706796708318E-2</c:v>
                </c:pt>
                <c:pt idx="8">
                  <c:v>2.9792746113989636E-2</c:v>
                </c:pt>
                <c:pt idx="9">
                  <c:v>2.4535202682109111E-2</c:v>
                </c:pt>
                <c:pt idx="10">
                  <c:v>2.2554099359951233E-2</c:v>
                </c:pt>
                <c:pt idx="11">
                  <c:v>2.9145077720207278E-2</c:v>
                </c:pt>
                <c:pt idx="12">
                  <c:v>2.5373361779945161E-2</c:v>
                </c:pt>
                <c:pt idx="13">
                  <c:v>2.6059128314538247E-2</c:v>
                </c:pt>
                <c:pt idx="14">
                  <c:v>3.1240475464797312E-2</c:v>
                </c:pt>
                <c:pt idx="15">
                  <c:v>3.3602560195062477E-2</c:v>
                </c:pt>
                <c:pt idx="16">
                  <c:v>3.185004571776897E-2</c:v>
                </c:pt>
                <c:pt idx="17">
                  <c:v>2.1944529106979579E-2</c:v>
                </c:pt>
                <c:pt idx="18">
                  <c:v>2.0801584882657723E-2</c:v>
                </c:pt>
                <c:pt idx="19">
                  <c:v>9.410240780249924E-3</c:v>
                </c:pt>
                <c:pt idx="20">
                  <c:v>2.1334958854007926E-3</c:v>
                </c:pt>
                <c:pt idx="21">
                  <c:v>2.6668698567509908E-4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834-46E8-8C26-95301694989E}"/>
            </c:ext>
          </c:extLst>
        </c:ser>
        <c:ser>
          <c:idx val="1"/>
          <c:order val="1"/>
          <c:tx>
            <c:strRef>
              <c:f>'5_FCD-2'!$G$54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'5_FCD-2'!$B$56:$B$75</c:f>
              <c:numCache>
                <c:formatCode>General</c:formatCode>
                <c:ptCount val="20"/>
              </c:numCache>
            </c:numRef>
          </c:xVal>
          <c:yVal>
            <c:numRef>
              <c:f>'5_FCD-2'!$G$56:$G$75</c:f>
              <c:numCache>
                <c:formatCode>0.00</c:formatCode>
                <c:ptCount val="20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834-46E8-8C26-95301694989E}"/>
            </c:ext>
          </c:extLst>
        </c:ser>
        <c:ser>
          <c:idx val="0"/>
          <c:order val="2"/>
          <c:tx>
            <c:strRef>
              <c:f>'5_FCD-2'!$G$4</c:f>
              <c:strCache>
                <c:ptCount val="1"/>
                <c:pt idx="0">
                  <c:v>Discharge 
(m3/s)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'5_FCD-2'!$B$6:$B$27</c:f>
              <c:numCache>
                <c:formatCode>General</c:formatCode>
                <c:ptCount val="22"/>
                <c:pt idx="0">
                  <c:v>1.2</c:v>
                </c:pt>
                <c:pt idx="1">
                  <c:v>1.55</c:v>
                </c:pt>
                <c:pt idx="2">
                  <c:v>1.8</c:v>
                </c:pt>
                <c:pt idx="3">
                  <c:v>2.0499999999999998</c:v>
                </c:pt>
                <c:pt idx="4">
                  <c:v>2.2999999999999998</c:v>
                </c:pt>
                <c:pt idx="5">
                  <c:v>2.5499999999999998</c:v>
                </c:pt>
                <c:pt idx="6">
                  <c:v>2.8</c:v>
                </c:pt>
                <c:pt idx="7">
                  <c:v>3.05</c:v>
                </c:pt>
                <c:pt idx="8">
                  <c:v>3.3</c:v>
                </c:pt>
                <c:pt idx="9">
                  <c:v>3.55</c:v>
                </c:pt>
                <c:pt idx="10">
                  <c:v>3.8</c:v>
                </c:pt>
                <c:pt idx="11">
                  <c:v>4.05</c:v>
                </c:pt>
                <c:pt idx="12">
                  <c:v>4.3</c:v>
                </c:pt>
                <c:pt idx="13">
                  <c:v>4.55</c:v>
                </c:pt>
                <c:pt idx="14">
                  <c:v>4.8</c:v>
                </c:pt>
                <c:pt idx="15">
                  <c:v>5.05</c:v>
                </c:pt>
                <c:pt idx="16">
                  <c:v>5.3</c:v>
                </c:pt>
                <c:pt idx="17">
                  <c:v>5.55</c:v>
                </c:pt>
                <c:pt idx="18">
                  <c:v>5.8</c:v>
                </c:pt>
                <c:pt idx="19">
                  <c:v>6.05</c:v>
                </c:pt>
                <c:pt idx="20">
                  <c:v>6.3</c:v>
                </c:pt>
                <c:pt idx="21">
                  <c:v>6.4</c:v>
                </c:pt>
              </c:numCache>
            </c:numRef>
          </c:xVal>
          <c:yVal>
            <c:numRef>
              <c:f>'5_FCD-2'!$G$6:$G$27</c:f>
              <c:numCache>
                <c:formatCode>0.000</c:formatCode>
                <c:ptCount val="22"/>
                <c:pt idx="0">
                  <c:v>5.3337397135019826E-4</c:v>
                </c:pt>
                <c:pt idx="1">
                  <c:v>3.657421517829931E-3</c:v>
                </c:pt>
                <c:pt idx="2">
                  <c:v>1.0057909174032303E-2</c:v>
                </c:pt>
                <c:pt idx="3">
                  <c:v>2.3963730569948175E-2</c:v>
                </c:pt>
                <c:pt idx="4">
                  <c:v>1.4401097226455349E-2</c:v>
                </c:pt>
                <c:pt idx="5">
                  <c:v>1.4896373056994818E-2</c:v>
                </c:pt>
                <c:pt idx="6">
                  <c:v>2.1487351417250836E-2</c:v>
                </c:pt>
                <c:pt idx="7">
                  <c:v>2.6287717159402622E-2</c:v>
                </c:pt>
                <c:pt idx="8">
                  <c:v>1.8820481560499848E-2</c:v>
                </c:pt>
                <c:pt idx="9">
                  <c:v>2.2858884486437064E-2</c:v>
                </c:pt>
                <c:pt idx="10">
                  <c:v>2.605912831453825E-2</c:v>
                </c:pt>
                <c:pt idx="11">
                  <c:v>2.9487960987503812E-2</c:v>
                </c:pt>
                <c:pt idx="12">
                  <c:v>2.4001828710758913E-2</c:v>
                </c:pt>
                <c:pt idx="13">
                  <c:v>2.6059128314538247E-2</c:v>
                </c:pt>
                <c:pt idx="14">
                  <c:v>2.9716549832368176E-2</c:v>
                </c:pt>
                <c:pt idx="15">
                  <c:v>3.1126181042365132E-2</c:v>
                </c:pt>
                <c:pt idx="16">
                  <c:v>2.4001828710758913E-2</c:v>
                </c:pt>
                <c:pt idx="17">
                  <c:v>1.9506248095092962E-2</c:v>
                </c:pt>
                <c:pt idx="18">
                  <c:v>1.4401097226455347E-2</c:v>
                </c:pt>
                <c:pt idx="19">
                  <c:v>5.4861322767448938E-3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834-46E8-8C26-953016949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3397464"/>
        <c:axId val="673397856"/>
      </c:scatterChart>
      <c:valAx>
        <c:axId val="6733974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97856"/>
        <c:crosses val="autoZero"/>
        <c:crossBetween val="midCat"/>
      </c:valAx>
      <c:valAx>
        <c:axId val="673397856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97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'6_FCD-2A'!$C$30</c:f>
              <c:strCache>
                <c:ptCount val="1"/>
                <c:pt idx="0">
                  <c:v>Depth (ft)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'6_FCD-2A'!$B$31:$B$52</c:f>
              <c:numCache>
                <c:formatCode>General</c:formatCode>
                <c:ptCount val="22"/>
                <c:pt idx="0">
                  <c:v>3.5</c:v>
                </c:pt>
                <c:pt idx="1">
                  <c:v>3.65</c:v>
                </c:pt>
                <c:pt idx="2">
                  <c:v>3.8</c:v>
                </c:pt>
                <c:pt idx="3">
                  <c:v>3.9499999999999997</c:v>
                </c:pt>
                <c:pt idx="4">
                  <c:v>4.0999999999999996</c:v>
                </c:pt>
                <c:pt idx="5">
                  <c:v>4.25</c:v>
                </c:pt>
                <c:pt idx="6">
                  <c:v>4.4000000000000004</c:v>
                </c:pt>
                <c:pt idx="7">
                  <c:v>4.5500000000000007</c:v>
                </c:pt>
                <c:pt idx="8">
                  <c:v>4.7000000000000011</c:v>
                </c:pt>
                <c:pt idx="9">
                  <c:v>4.8500000000000014</c:v>
                </c:pt>
                <c:pt idx="10">
                  <c:v>5.0000000000000018</c:v>
                </c:pt>
                <c:pt idx="11">
                  <c:v>5.1500000000000021</c:v>
                </c:pt>
                <c:pt idx="12">
                  <c:v>5.3000000000000025</c:v>
                </c:pt>
                <c:pt idx="13">
                  <c:v>5.4500000000000028</c:v>
                </c:pt>
                <c:pt idx="14">
                  <c:v>5.6000000000000032</c:v>
                </c:pt>
                <c:pt idx="15">
                  <c:v>5.7500000000000036</c:v>
                </c:pt>
                <c:pt idx="16">
                  <c:v>5.9000000000000039</c:v>
                </c:pt>
                <c:pt idx="17">
                  <c:v>6.0500000000000043</c:v>
                </c:pt>
                <c:pt idx="18">
                  <c:v>6.2000000000000046</c:v>
                </c:pt>
                <c:pt idx="19">
                  <c:v>6.350000000000005</c:v>
                </c:pt>
                <c:pt idx="20">
                  <c:v>6.5000000000000053</c:v>
                </c:pt>
                <c:pt idx="21">
                  <c:v>6.6</c:v>
                </c:pt>
              </c:numCache>
            </c:numRef>
          </c:xVal>
          <c:yVal>
            <c:numRef>
              <c:f>'6_FCD-2A'!$C$31:$C$52</c:f>
              <c:numCache>
                <c:formatCode>General</c:formatCode>
                <c:ptCount val="22"/>
                <c:pt idx="0">
                  <c:v>0</c:v>
                </c:pt>
                <c:pt idx="1">
                  <c:v>0.4</c:v>
                </c:pt>
                <c:pt idx="2">
                  <c:v>0.35</c:v>
                </c:pt>
                <c:pt idx="3">
                  <c:v>0.65</c:v>
                </c:pt>
                <c:pt idx="4">
                  <c:v>0.6</c:v>
                </c:pt>
                <c:pt idx="5">
                  <c:v>0.7</c:v>
                </c:pt>
                <c:pt idx="6">
                  <c:v>0.9</c:v>
                </c:pt>
                <c:pt idx="7">
                  <c:v>1.25</c:v>
                </c:pt>
                <c:pt idx="8">
                  <c:v>1.3</c:v>
                </c:pt>
                <c:pt idx="9">
                  <c:v>1.3</c:v>
                </c:pt>
                <c:pt idx="10">
                  <c:v>1.7</c:v>
                </c:pt>
                <c:pt idx="11">
                  <c:v>1.55</c:v>
                </c:pt>
                <c:pt idx="12">
                  <c:v>1.5</c:v>
                </c:pt>
                <c:pt idx="13">
                  <c:v>1.65</c:v>
                </c:pt>
                <c:pt idx="14">
                  <c:v>1.1000000000000001</c:v>
                </c:pt>
                <c:pt idx="15">
                  <c:v>1.1000000000000001</c:v>
                </c:pt>
                <c:pt idx="16">
                  <c:v>1.4</c:v>
                </c:pt>
                <c:pt idx="17">
                  <c:v>0.65</c:v>
                </c:pt>
                <c:pt idx="18">
                  <c:v>0.4</c:v>
                </c:pt>
                <c:pt idx="19">
                  <c:v>0.4</c:v>
                </c:pt>
                <c:pt idx="20">
                  <c:v>0.65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ACF-43C8-8B24-A61ABADCB6E7}"/>
            </c:ext>
          </c:extLst>
        </c:ser>
        <c:ser>
          <c:idx val="1"/>
          <c:order val="1"/>
          <c:tx>
            <c:strRef>
              <c:f>'6_FCD-2A'!$C$54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'6_FCD-2A'!$B$56:$B$75</c:f>
              <c:numCache>
                <c:formatCode>General</c:formatCode>
                <c:ptCount val="20"/>
              </c:numCache>
            </c:numRef>
          </c:xVal>
          <c:yVal>
            <c:numRef>
              <c:f>'6_FCD-2A'!$C$56:$C$75</c:f>
              <c:numCache>
                <c:formatCode>General</c:formatCode>
                <c:ptCount val="20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ACF-43C8-8B24-A61ABADCB6E7}"/>
            </c:ext>
          </c:extLst>
        </c:ser>
        <c:ser>
          <c:idx val="0"/>
          <c:order val="2"/>
          <c:tx>
            <c:strRef>
              <c:f>'6_FCD-2A'!$C$4</c:f>
              <c:strCache>
                <c:ptCount val="1"/>
                <c:pt idx="0">
                  <c:v>Depth 
(ft)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'6_FCD-2A'!$B$6:$B$27</c:f>
              <c:numCache>
                <c:formatCode>General</c:formatCode>
                <c:ptCount val="22"/>
                <c:pt idx="0">
                  <c:v>3.5</c:v>
                </c:pt>
                <c:pt idx="1">
                  <c:v>3.6</c:v>
                </c:pt>
                <c:pt idx="2">
                  <c:v>3.75</c:v>
                </c:pt>
                <c:pt idx="3">
                  <c:v>3.9</c:v>
                </c:pt>
                <c:pt idx="4">
                  <c:v>4.05</c:v>
                </c:pt>
                <c:pt idx="5">
                  <c:v>4.2</c:v>
                </c:pt>
                <c:pt idx="6">
                  <c:v>4.3500000000000005</c:v>
                </c:pt>
                <c:pt idx="7">
                  <c:v>4.5000000000000009</c:v>
                </c:pt>
                <c:pt idx="8">
                  <c:v>4.6500000000000012</c:v>
                </c:pt>
                <c:pt idx="9">
                  <c:v>4.8000000000000016</c:v>
                </c:pt>
                <c:pt idx="10">
                  <c:v>4.950000000000002</c:v>
                </c:pt>
                <c:pt idx="11">
                  <c:v>5.1000000000000023</c:v>
                </c:pt>
                <c:pt idx="12">
                  <c:v>5.2500000000000027</c:v>
                </c:pt>
                <c:pt idx="13">
                  <c:v>5.400000000000003</c:v>
                </c:pt>
                <c:pt idx="14">
                  <c:v>5.5500000000000034</c:v>
                </c:pt>
                <c:pt idx="15">
                  <c:v>5.7000000000000037</c:v>
                </c:pt>
                <c:pt idx="16">
                  <c:v>5.8500000000000041</c:v>
                </c:pt>
                <c:pt idx="17">
                  <c:v>6.0000000000000044</c:v>
                </c:pt>
                <c:pt idx="18">
                  <c:v>6.1500000000000048</c:v>
                </c:pt>
                <c:pt idx="19">
                  <c:v>6.3000000000000052</c:v>
                </c:pt>
                <c:pt idx="20">
                  <c:v>6.4500000000000055</c:v>
                </c:pt>
                <c:pt idx="21">
                  <c:v>6.6</c:v>
                </c:pt>
              </c:numCache>
            </c:numRef>
          </c:xVal>
          <c:yVal>
            <c:numRef>
              <c:f>'6_FCD-2A'!$C$6:$C$27</c:f>
              <c:numCache>
                <c:formatCode>General</c:formatCode>
                <c:ptCount val="22"/>
                <c:pt idx="0">
                  <c:v>0</c:v>
                </c:pt>
                <c:pt idx="1">
                  <c:v>0.4</c:v>
                </c:pt>
                <c:pt idx="2">
                  <c:v>0.4</c:v>
                </c:pt>
                <c:pt idx="3">
                  <c:v>0.6</c:v>
                </c:pt>
                <c:pt idx="4">
                  <c:v>0.55000000000000004</c:v>
                </c:pt>
                <c:pt idx="5">
                  <c:v>0.75</c:v>
                </c:pt>
                <c:pt idx="6">
                  <c:v>0.95</c:v>
                </c:pt>
                <c:pt idx="7">
                  <c:v>1.25</c:v>
                </c:pt>
                <c:pt idx="8">
                  <c:v>1.3</c:v>
                </c:pt>
                <c:pt idx="9">
                  <c:v>1.3</c:v>
                </c:pt>
                <c:pt idx="10">
                  <c:v>1.7</c:v>
                </c:pt>
                <c:pt idx="11">
                  <c:v>1.6</c:v>
                </c:pt>
                <c:pt idx="12">
                  <c:v>1.5</c:v>
                </c:pt>
                <c:pt idx="13">
                  <c:v>1.6</c:v>
                </c:pt>
                <c:pt idx="14">
                  <c:v>1.1000000000000001</c:v>
                </c:pt>
                <c:pt idx="15">
                  <c:v>1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0.5</c:v>
                </c:pt>
                <c:pt idx="19">
                  <c:v>0.4</c:v>
                </c:pt>
                <c:pt idx="20">
                  <c:v>0.65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ACF-43C8-8B24-A61ABADCB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3398640"/>
        <c:axId val="673399032"/>
      </c:scatterChart>
      <c:valAx>
        <c:axId val="6733986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99032"/>
        <c:crosses val="autoZero"/>
        <c:crossBetween val="midCat"/>
      </c:valAx>
      <c:valAx>
        <c:axId val="673399032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98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292631358088013E-2"/>
          <c:y val="8.60193984341516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'6_FCD-2A'!$E$30</c:f>
              <c:strCache>
                <c:ptCount val="1"/>
                <c:pt idx="0">
                  <c:v>Velocity (m/s)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'6_FCD-2A'!$B$31:$B$52</c:f>
              <c:numCache>
                <c:formatCode>General</c:formatCode>
                <c:ptCount val="22"/>
                <c:pt idx="0">
                  <c:v>3.5</c:v>
                </c:pt>
                <c:pt idx="1">
                  <c:v>3.65</c:v>
                </c:pt>
                <c:pt idx="2">
                  <c:v>3.8</c:v>
                </c:pt>
                <c:pt idx="3">
                  <c:v>3.9499999999999997</c:v>
                </c:pt>
                <c:pt idx="4">
                  <c:v>4.0999999999999996</c:v>
                </c:pt>
                <c:pt idx="5">
                  <c:v>4.25</c:v>
                </c:pt>
                <c:pt idx="6">
                  <c:v>4.4000000000000004</c:v>
                </c:pt>
                <c:pt idx="7">
                  <c:v>4.5500000000000007</c:v>
                </c:pt>
                <c:pt idx="8">
                  <c:v>4.7000000000000011</c:v>
                </c:pt>
                <c:pt idx="9">
                  <c:v>4.8500000000000014</c:v>
                </c:pt>
                <c:pt idx="10">
                  <c:v>5.0000000000000018</c:v>
                </c:pt>
                <c:pt idx="11">
                  <c:v>5.1500000000000021</c:v>
                </c:pt>
                <c:pt idx="12">
                  <c:v>5.3000000000000025</c:v>
                </c:pt>
                <c:pt idx="13">
                  <c:v>5.4500000000000028</c:v>
                </c:pt>
                <c:pt idx="14">
                  <c:v>5.6000000000000032</c:v>
                </c:pt>
                <c:pt idx="15">
                  <c:v>5.7500000000000036</c:v>
                </c:pt>
                <c:pt idx="16">
                  <c:v>5.9000000000000039</c:v>
                </c:pt>
                <c:pt idx="17">
                  <c:v>6.0500000000000043</c:v>
                </c:pt>
                <c:pt idx="18">
                  <c:v>6.2000000000000046</c:v>
                </c:pt>
                <c:pt idx="19">
                  <c:v>6.350000000000005</c:v>
                </c:pt>
                <c:pt idx="20">
                  <c:v>6.5000000000000053</c:v>
                </c:pt>
                <c:pt idx="21">
                  <c:v>6.6</c:v>
                </c:pt>
              </c:numCache>
            </c:numRef>
          </c:xVal>
          <c:yVal>
            <c:numRef>
              <c:f>'6_FCD-2A'!$E$31:$E$52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0.03</c:v>
                </c:pt>
                <c:pt idx="4">
                  <c:v>0.17</c:v>
                </c:pt>
                <c:pt idx="5">
                  <c:v>0.36</c:v>
                </c:pt>
                <c:pt idx="6">
                  <c:v>0.47</c:v>
                </c:pt>
                <c:pt idx="7">
                  <c:v>0.53</c:v>
                </c:pt>
                <c:pt idx="8">
                  <c:v>0.6</c:v>
                </c:pt>
                <c:pt idx="9">
                  <c:v>0.75</c:v>
                </c:pt>
                <c:pt idx="10">
                  <c:v>0.43</c:v>
                </c:pt>
                <c:pt idx="11">
                  <c:v>0.62</c:v>
                </c:pt>
                <c:pt idx="12">
                  <c:v>0.65</c:v>
                </c:pt>
                <c:pt idx="13">
                  <c:v>0.55000000000000004</c:v>
                </c:pt>
                <c:pt idx="14">
                  <c:v>0.6</c:v>
                </c:pt>
                <c:pt idx="15">
                  <c:v>0.48</c:v>
                </c:pt>
                <c:pt idx="16">
                  <c:v>0.12</c:v>
                </c:pt>
                <c:pt idx="17">
                  <c:v>0.5</c:v>
                </c:pt>
                <c:pt idx="18">
                  <c:v>0.2</c:v>
                </c:pt>
                <c:pt idx="19">
                  <c:v>-0.01</c:v>
                </c:pt>
                <c:pt idx="20">
                  <c:v>0.05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9B-412D-8C9A-8BF5D2D4923D}"/>
            </c:ext>
          </c:extLst>
        </c:ser>
        <c:ser>
          <c:idx val="1"/>
          <c:order val="1"/>
          <c:tx>
            <c:strRef>
              <c:f>'6_FCD-2A'!$E$54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'6_FCD-2A'!$B$56:$B$75</c:f>
              <c:numCache>
                <c:formatCode>General</c:formatCode>
                <c:ptCount val="20"/>
              </c:numCache>
            </c:numRef>
          </c:xVal>
          <c:yVal>
            <c:numRef>
              <c:f>'6_FCD-2A'!$E$56:$E$75</c:f>
              <c:numCache>
                <c:formatCode>General</c:formatCode>
                <c:ptCount val="20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9B-412D-8C9A-8BF5D2D4923D}"/>
            </c:ext>
          </c:extLst>
        </c:ser>
        <c:ser>
          <c:idx val="0"/>
          <c:order val="2"/>
          <c:tx>
            <c:strRef>
              <c:f>'6_FCD-2A'!$E$4</c:f>
              <c:strCache>
                <c:ptCount val="1"/>
                <c:pt idx="0">
                  <c:v>Velocity 
(m/s)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'6_FCD-2A'!$B$6:$B$27</c:f>
              <c:numCache>
                <c:formatCode>General</c:formatCode>
                <c:ptCount val="22"/>
                <c:pt idx="0">
                  <c:v>3.5</c:v>
                </c:pt>
                <c:pt idx="1">
                  <c:v>3.6</c:v>
                </c:pt>
                <c:pt idx="2">
                  <c:v>3.75</c:v>
                </c:pt>
                <c:pt idx="3">
                  <c:v>3.9</c:v>
                </c:pt>
                <c:pt idx="4">
                  <c:v>4.05</c:v>
                </c:pt>
                <c:pt idx="5">
                  <c:v>4.2</c:v>
                </c:pt>
                <c:pt idx="6">
                  <c:v>4.3500000000000005</c:v>
                </c:pt>
                <c:pt idx="7">
                  <c:v>4.5000000000000009</c:v>
                </c:pt>
                <c:pt idx="8">
                  <c:v>4.6500000000000012</c:v>
                </c:pt>
                <c:pt idx="9">
                  <c:v>4.8000000000000016</c:v>
                </c:pt>
                <c:pt idx="10">
                  <c:v>4.950000000000002</c:v>
                </c:pt>
                <c:pt idx="11">
                  <c:v>5.1000000000000023</c:v>
                </c:pt>
                <c:pt idx="12">
                  <c:v>5.2500000000000027</c:v>
                </c:pt>
                <c:pt idx="13">
                  <c:v>5.400000000000003</c:v>
                </c:pt>
                <c:pt idx="14">
                  <c:v>5.5500000000000034</c:v>
                </c:pt>
                <c:pt idx="15">
                  <c:v>5.7000000000000037</c:v>
                </c:pt>
                <c:pt idx="16">
                  <c:v>5.8500000000000041</c:v>
                </c:pt>
                <c:pt idx="17">
                  <c:v>6.0000000000000044</c:v>
                </c:pt>
                <c:pt idx="18">
                  <c:v>6.1500000000000048</c:v>
                </c:pt>
                <c:pt idx="19">
                  <c:v>6.3000000000000052</c:v>
                </c:pt>
                <c:pt idx="20">
                  <c:v>6.4500000000000055</c:v>
                </c:pt>
                <c:pt idx="21">
                  <c:v>6.6</c:v>
                </c:pt>
              </c:numCache>
            </c:numRef>
          </c:xVal>
          <c:yVal>
            <c:numRef>
              <c:f>'6_FCD-2A'!$E$6:$E$27</c:f>
              <c:numCache>
                <c:formatCode>General</c:formatCode>
                <c:ptCount val="22"/>
                <c:pt idx="0">
                  <c:v>0</c:v>
                </c:pt>
                <c:pt idx="1">
                  <c:v>-0.02</c:v>
                </c:pt>
                <c:pt idx="2">
                  <c:v>0.01</c:v>
                </c:pt>
                <c:pt idx="3">
                  <c:v>-0.01</c:v>
                </c:pt>
                <c:pt idx="4">
                  <c:v>0.08</c:v>
                </c:pt>
                <c:pt idx="5">
                  <c:v>0.32</c:v>
                </c:pt>
                <c:pt idx="6">
                  <c:v>0.3</c:v>
                </c:pt>
                <c:pt idx="7">
                  <c:v>0.51</c:v>
                </c:pt>
                <c:pt idx="8">
                  <c:v>0.66</c:v>
                </c:pt>
                <c:pt idx="9">
                  <c:v>0.68</c:v>
                </c:pt>
                <c:pt idx="10">
                  <c:v>0.51</c:v>
                </c:pt>
                <c:pt idx="11">
                  <c:v>0.59</c:v>
                </c:pt>
                <c:pt idx="12">
                  <c:v>0.62</c:v>
                </c:pt>
                <c:pt idx="13">
                  <c:v>0.52</c:v>
                </c:pt>
                <c:pt idx="14">
                  <c:v>0.61</c:v>
                </c:pt>
                <c:pt idx="15">
                  <c:v>0.5</c:v>
                </c:pt>
                <c:pt idx="16">
                  <c:v>0.43</c:v>
                </c:pt>
                <c:pt idx="17">
                  <c:v>0.5</c:v>
                </c:pt>
                <c:pt idx="18">
                  <c:v>0.3</c:v>
                </c:pt>
                <c:pt idx="19">
                  <c:v>0</c:v>
                </c:pt>
                <c:pt idx="20">
                  <c:v>-0.01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39B-412D-8C9A-8BF5D2D4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3333704"/>
        <c:axId val="673333312"/>
      </c:scatterChart>
      <c:valAx>
        <c:axId val="6733337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33312"/>
        <c:crosses val="autoZero"/>
        <c:crossBetween val="midCat"/>
      </c:valAx>
      <c:valAx>
        <c:axId val="673333312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337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513835813772666E-2"/>
          <c:y val="1.4123972403989849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'6_FCD-2A'!$G$30</c:f>
              <c:strCache>
                <c:ptCount val="1"/>
                <c:pt idx="0">
                  <c:v>Discharge (m3/s)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'6_FCD-2A'!$B$31:$B$52</c:f>
              <c:numCache>
                <c:formatCode>General</c:formatCode>
                <c:ptCount val="22"/>
                <c:pt idx="0">
                  <c:v>3.5</c:v>
                </c:pt>
                <c:pt idx="1">
                  <c:v>3.65</c:v>
                </c:pt>
                <c:pt idx="2">
                  <c:v>3.8</c:v>
                </c:pt>
                <c:pt idx="3">
                  <c:v>3.9499999999999997</c:v>
                </c:pt>
                <c:pt idx="4">
                  <c:v>4.0999999999999996</c:v>
                </c:pt>
                <c:pt idx="5">
                  <c:v>4.25</c:v>
                </c:pt>
                <c:pt idx="6">
                  <c:v>4.4000000000000004</c:v>
                </c:pt>
                <c:pt idx="7">
                  <c:v>4.5500000000000007</c:v>
                </c:pt>
                <c:pt idx="8">
                  <c:v>4.7000000000000011</c:v>
                </c:pt>
                <c:pt idx="9">
                  <c:v>4.8500000000000014</c:v>
                </c:pt>
                <c:pt idx="10">
                  <c:v>5.0000000000000018</c:v>
                </c:pt>
                <c:pt idx="11">
                  <c:v>5.1500000000000021</c:v>
                </c:pt>
                <c:pt idx="12">
                  <c:v>5.3000000000000025</c:v>
                </c:pt>
                <c:pt idx="13">
                  <c:v>5.4500000000000028</c:v>
                </c:pt>
                <c:pt idx="14">
                  <c:v>5.6000000000000032</c:v>
                </c:pt>
                <c:pt idx="15">
                  <c:v>5.7500000000000036</c:v>
                </c:pt>
                <c:pt idx="16">
                  <c:v>5.9000000000000039</c:v>
                </c:pt>
                <c:pt idx="17">
                  <c:v>6.0500000000000043</c:v>
                </c:pt>
                <c:pt idx="18">
                  <c:v>6.2000000000000046</c:v>
                </c:pt>
                <c:pt idx="19">
                  <c:v>6.350000000000005</c:v>
                </c:pt>
                <c:pt idx="20">
                  <c:v>6.5000000000000053</c:v>
                </c:pt>
                <c:pt idx="21">
                  <c:v>6.6</c:v>
                </c:pt>
              </c:numCache>
            </c:numRef>
          </c:xVal>
          <c:yVal>
            <c:numRef>
              <c:f>'6_FCD-2A'!$G$31:$G$52</c:f>
              <c:numCache>
                <c:formatCode>0.000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3.2002438281011859E-4</c:v>
                </c:pt>
                <c:pt idx="3">
                  <c:v>8.9149649497104481E-4</c:v>
                </c:pt>
                <c:pt idx="4">
                  <c:v>4.6632124352331645E-3</c:v>
                </c:pt>
                <c:pt idx="5">
                  <c:v>1.1520877781164304E-2</c:v>
                </c:pt>
                <c:pt idx="6">
                  <c:v>1.93386162755258E-2</c:v>
                </c:pt>
                <c:pt idx="7">
                  <c:v>3.0288021944529182E-2</c:v>
                </c:pt>
                <c:pt idx="8">
                  <c:v>3.5659859798841897E-2</c:v>
                </c:pt>
                <c:pt idx="9">
                  <c:v>4.4574824748552372E-2</c:v>
                </c:pt>
                <c:pt idx="10">
                  <c:v>3.3419689119171064E-2</c:v>
                </c:pt>
                <c:pt idx="11">
                  <c:v>4.3934775982932134E-2</c:v>
                </c:pt>
                <c:pt idx="12">
                  <c:v>4.4574824748552379E-2</c:v>
                </c:pt>
                <c:pt idx="13">
                  <c:v>4.1488875342883369E-2</c:v>
                </c:pt>
                <c:pt idx="14">
                  <c:v>3.0173727522096992E-2</c:v>
                </c:pt>
                <c:pt idx="15">
                  <c:v>2.4138982017677595E-2</c:v>
                </c:pt>
                <c:pt idx="16">
                  <c:v>7.6805851874428696E-3</c:v>
                </c:pt>
                <c:pt idx="17">
                  <c:v>1.4858274916184125E-2</c:v>
                </c:pt>
                <c:pt idx="18">
                  <c:v>3.6574215178299383E-3</c:v>
                </c:pt>
                <c:pt idx="19">
                  <c:v>-1.8287107589149692E-4</c:v>
                </c:pt>
                <c:pt idx="20">
                  <c:v>1.2381895763486478E-3</c:v>
                </c:pt>
                <c:pt idx="21">
                  <c:v>1.2381895763486039E-4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7D9-4B8E-ADCA-F521F9BD75B2}"/>
            </c:ext>
          </c:extLst>
        </c:ser>
        <c:ser>
          <c:idx val="1"/>
          <c:order val="1"/>
          <c:tx>
            <c:strRef>
              <c:f>'6_FCD-2A'!$G$54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'6_FCD-2A'!$B$56:$B$75</c:f>
              <c:numCache>
                <c:formatCode>General</c:formatCode>
                <c:ptCount val="20"/>
              </c:numCache>
            </c:numRef>
          </c:xVal>
          <c:yVal>
            <c:numRef>
              <c:f>'6_FCD-2A'!$G$56:$G$75</c:f>
              <c:numCache>
                <c:formatCode>0.00</c:formatCode>
                <c:ptCount val="20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7D9-4B8E-ADCA-F521F9BD75B2}"/>
            </c:ext>
          </c:extLst>
        </c:ser>
        <c:ser>
          <c:idx val="0"/>
          <c:order val="2"/>
          <c:tx>
            <c:strRef>
              <c:f>'6_FCD-2A'!$G$4</c:f>
              <c:strCache>
                <c:ptCount val="1"/>
                <c:pt idx="0">
                  <c:v>Discharge 
(m3/s)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'6_FCD-2A'!$B$6:$B$27</c:f>
              <c:numCache>
                <c:formatCode>General</c:formatCode>
                <c:ptCount val="22"/>
                <c:pt idx="0">
                  <c:v>3.5</c:v>
                </c:pt>
                <c:pt idx="1">
                  <c:v>3.6</c:v>
                </c:pt>
                <c:pt idx="2">
                  <c:v>3.75</c:v>
                </c:pt>
                <c:pt idx="3">
                  <c:v>3.9</c:v>
                </c:pt>
                <c:pt idx="4">
                  <c:v>4.05</c:v>
                </c:pt>
                <c:pt idx="5">
                  <c:v>4.2</c:v>
                </c:pt>
                <c:pt idx="6">
                  <c:v>4.3500000000000005</c:v>
                </c:pt>
                <c:pt idx="7">
                  <c:v>4.5000000000000009</c:v>
                </c:pt>
                <c:pt idx="8">
                  <c:v>4.6500000000000012</c:v>
                </c:pt>
                <c:pt idx="9">
                  <c:v>4.8000000000000016</c:v>
                </c:pt>
                <c:pt idx="10">
                  <c:v>4.950000000000002</c:v>
                </c:pt>
                <c:pt idx="11">
                  <c:v>5.1000000000000023</c:v>
                </c:pt>
                <c:pt idx="12">
                  <c:v>5.2500000000000027</c:v>
                </c:pt>
                <c:pt idx="13">
                  <c:v>5.400000000000003</c:v>
                </c:pt>
                <c:pt idx="14">
                  <c:v>5.5500000000000034</c:v>
                </c:pt>
                <c:pt idx="15">
                  <c:v>5.7000000000000037</c:v>
                </c:pt>
                <c:pt idx="16">
                  <c:v>5.8500000000000041</c:v>
                </c:pt>
                <c:pt idx="17">
                  <c:v>6.0000000000000044</c:v>
                </c:pt>
                <c:pt idx="18">
                  <c:v>6.1500000000000048</c:v>
                </c:pt>
                <c:pt idx="19">
                  <c:v>6.3000000000000052</c:v>
                </c:pt>
                <c:pt idx="20">
                  <c:v>6.4500000000000055</c:v>
                </c:pt>
                <c:pt idx="21">
                  <c:v>6.6</c:v>
                </c:pt>
              </c:numCache>
            </c:numRef>
          </c:xVal>
          <c:yVal>
            <c:numRef>
              <c:f>'6_FCD-2A'!$G$6:$G$27</c:f>
              <c:numCache>
                <c:formatCode>0.000</c:formatCode>
                <c:ptCount val="22"/>
                <c:pt idx="0">
                  <c:v>-3.0478512648582776E-5</c:v>
                </c:pt>
                <c:pt idx="1">
                  <c:v>-3.0478512648582753E-4</c:v>
                </c:pt>
                <c:pt idx="2">
                  <c:v>1.8287107589149641E-4</c:v>
                </c:pt>
                <c:pt idx="3">
                  <c:v>-2.7430661383724458E-4</c:v>
                </c:pt>
                <c:pt idx="4">
                  <c:v>2.0115818348064637E-3</c:v>
                </c:pt>
                <c:pt idx="5">
                  <c:v>1.0972264553489817E-2</c:v>
                </c:pt>
                <c:pt idx="6">
                  <c:v>1.3029564157269155E-2</c:v>
                </c:pt>
                <c:pt idx="7">
                  <c:v>2.9145077720207326E-2</c:v>
                </c:pt>
                <c:pt idx="8">
                  <c:v>3.9225845778726093E-2</c:v>
                </c:pt>
                <c:pt idx="9">
                  <c:v>4.0414507772020825E-2</c:v>
                </c:pt>
                <c:pt idx="10">
                  <c:v>3.9637305699481956E-2</c:v>
                </c:pt>
                <c:pt idx="11">
                  <c:v>4.3157573910393272E-2</c:v>
                </c:pt>
                <c:pt idx="12">
                  <c:v>4.2517525144773041E-2</c:v>
                </c:pt>
                <c:pt idx="13">
                  <c:v>3.8037183785431361E-2</c:v>
                </c:pt>
                <c:pt idx="14">
                  <c:v>3.067662298079861E-2</c:v>
                </c:pt>
                <c:pt idx="15">
                  <c:v>2.2858884486437112E-2</c:v>
                </c:pt>
                <c:pt idx="16">
                  <c:v>2.1624504724169512E-2</c:v>
                </c:pt>
                <c:pt idx="17">
                  <c:v>1.6001219140505979E-2</c:v>
                </c:pt>
                <c:pt idx="18">
                  <c:v>6.8576653459311333E-3</c:v>
                </c:pt>
                <c:pt idx="19">
                  <c:v>0</c:v>
                </c:pt>
                <c:pt idx="20">
                  <c:v>-2.9716549832367638E-4</c:v>
                </c:pt>
                <c:pt idx="21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7D9-4B8E-ADCA-F521F9BD7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3395896"/>
        <c:axId val="533595592"/>
      </c:scatterChart>
      <c:valAx>
        <c:axId val="6733958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595592"/>
        <c:crosses val="autoZero"/>
        <c:crossBetween val="midCat"/>
      </c:valAx>
      <c:valAx>
        <c:axId val="533595592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95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'7_Seeps'!$C$26</c:f>
              <c:strCache>
                <c:ptCount val="1"/>
                <c:pt idx="0">
                  <c:v>280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'7_Seeps'!$B$27:$B$46</c:f>
              <c:numCache>
                <c:formatCode>General</c:formatCode>
                <c:ptCount val="20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</c:numCache>
            </c:numRef>
          </c:xVal>
          <c:yVal>
            <c:numRef>
              <c:f>'7_Seeps'!$C$27:$C$46</c:f>
              <c:numCache>
                <c:formatCode>General</c:formatCode>
                <c:ptCount val="20"/>
                <c:pt idx="0">
                  <c:v>270</c:v>
                </c:pt>
                <c:pt idx="1">
                  <c:v>220</c:v>
                </c:pt>
                <c:pt idx="2">
                  <c:v>280</c:v>
                </c:pt>
                <c:pt idx="3">
                  <c:v>320</c:v>
                </c:pt>
                <c:pt idx="4">
                  <c:v>350</c:v>
                </c:pt>
                <c:pt idx="5">
                  <c:v>530</c:v>
                </c:pt>
                <c:pt idx="6">
                  <c:v>680</c:v>
                </c:pt>
                <c:pt idx="7">
                  <c:v>690</c:v>
                </c:pt>
                <c:pt idx="8">
                  <c:v>740</c:v>
                </c:pt>
                <c:pt idx="9">
                  <c:v>640</c:v>
                </c:pt>
                <c:pt idx="10">
                  <c:v>700</c:v>
                </c:pt>
                <c:pt idx="11">
                  <c:v>630</c:v>
                </c:pt>
                <c:pt idx="12">
                  <c:v>700</c:v>
                </c:pt>
                <c:pt idx="13">
                  <c:v>420</c:v>
                </c:pt>
                <c:pt idx="14">
                  <c:v>390</c:v>
                </c:pt>
                <c:pt idx="15">
                  <c:v>450</c:v>
                </c:pt>
                <c:pt idx="16">
                  <c:v>500</c:v>
                </c:pt>
                <c:pt idx="17">
                  <c:v>280</c:v>
                </c:pt>
                <c:pt idx="18">
                  <c:v>250</c:v>
                </c:pt>
                <c:pt idx="19">
                  <c:v>320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DFA-45B2-8E04-83F9BE9A388D}"/>
            </c:ext>
          </c:extLst>
        </c:ser>
        <c:ser>
          <c:idx val="1"/>
          <c:order val="1"/>
          <c:tx>
            <c:strRef>
              <c:f>'7_Seeps'!$C$48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'7_Seeps'!$B$49:$B$67</c:f>
              <c:numCache>
                <c:formatCode>General</c:formatCode>
                <c:ptCount val="19"/>
              </c:numCache>
            </c:numRef>
          </c:xVal>
          <c:yVal>
            <c:numRef>
              <c:f>'7_Seeps'!$C$49:$C$67</c:f>
              <c:numCache>
                <c:formatCode>General</c:formatCode>
                <c:ptCount val="19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DFA-45B2-8E04-83F9BE9A388D}"/>
            </c:ext>
          </c:extLst>
        </c:ser>
        <c:ser>
          <c:idx val="0"/>
          <c:order val="2"/>
          <c:tx>
            <c:strRef>
              <c:f>'7_Seeps'!$D$4</c:f>
              <c:strCache>
                <c:ptCount val="1"/>
                <c:pt idx="0">
                  <c:v>Time 
(s)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'7_Seeps'!$B$5:$B$22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1</c:v>
                </c:pt>
                <c:pt idx="17">
                  <c:v>2</c:v>
                </c:pt>
              </c:numCache>
            </c:numRef>
          </c:xVal>
          <c:yVal>
            <c:numRef>
              <c:f>'7_Seeps'!$C$5:$C$22</c:f>
              <c:numCache>
                <c:formatCode>General</c:formatCode>
                <c:ptCount val="18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750</c:v>
                </c:pt>
                <c:pt idx="4">
                  <c:v>400</c:v>
                </c:pt>
                <c:pt idx="5">
                  <c:v>700</c:v>
                </c:pt>
                <c:pt idx="6">
                  <c:v>750</c:v>
                </c:pt>
                <c:pt idx="7">
                  <c:v>750</c:v>
                </c:pt>
                <c:pt idx="8">
                  <c:v>800</c:v>
                </c:pt>
                <c:pt idx="9">
                  <c:v>420</c:v>
                </c:pt>
                <c:pt idx="10">
                  <c:v>500</c:v>
                </c:pt>
                <c:pt idx="11">
                  <c:v>450</c:v>
                </c:pt>
                <c:pt idx="12">
                  <c:v>450</c:v>
                </c:pt>
                <c:pt idx="13">
                  <c:v>270</c:v>
                </c:pt>
                <c:pt idx="14">
                  <c:v>280</c:v>
                </c:pt>
                <c:pt idx="15">
                  <c:v>300</c:v>
                </c:pt>
                <c:pt idx="16">
                  <c:v>350</c:v>
                </c:pt>
                <c:pt idx="17">
                  <c:v>400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DFA-45B2-8E04-83F9BE9A3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596376"/>
        <c:axId val="533596768"/>
      </c:scatterChart>
      <c:valAx>
        <c:axId val="5335963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596768"/>
        <c:crosses val="autoZero"/>
        <c:crossBetween val="midCat"/>
      </c:valAx>
      <c:valAx>
        <c:axId val="53359676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596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292631358088013E-2"/>
          <c:y val="8.60193984341516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'7_Seeps'!$E$26</c:f>
              <c:strCache>
                <c:ptCount val="1"/>
                <c:pt idx="0">
                  <c:v>26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'7_Seeps'!$B$27:$B$46</c:f>
              <c:numCache>
                <c:formatCode>General</c:formatCode>
                <c:ptCount val="20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</c:numCache>
            </c:numRef>
          </c:xVal>
          <c:yVal>
            <c:numRef>
              <c:f>'7_Seeps'!$E$27:$E$46</c:f>
              <c:numCache>
                <c:formatCode>0_);[Red]\(0\)</c:formatCode>
                <c:ptCount val="20"/>
                <c:pt idx="0">
                  <c:v>25.233644859813086</c:v>
                </c:pt>
                <c:pt idx="1">
                  <c:v>24.999999999999996</c:v>
                </c:pt>
                <c:pt idx="2">
                  <c:v>80</c:v>
                </c:pt>
                <c:pt idx="3">
                  <c:v>78.048780487804891</c:v>
                </c:pt>
                <c:pt idx="4">
                  <c:v>70</c:v>
                </c:pt>
                <c:pt idx="5">
                  <c:v>107.28744939271255</c:v>
                </c:pt>
                <c:pt idx="6">
                  <c:v>165.04854368932038</c:v>
                </c:pt>
                <c:pt idx="7">
                  <c:v>173.8035264483627</c:v>
                </c:pt>
                <c:pt idx="8">
                  <c:v>194.22572178477691</c:v>
                </c:pt>
                <c:pt idx="9">
                  <c:v>172.04301075268816</c:v>
                </c:pt>
                <c:pt idx="10">
                  <c:v>162.03703703703704</c:v>
                </c:pt>
                <c:pt idx="11">
                  <c:v>148.23529411764707</c:v>
                </c:pt>
                <c:pt idx="12">
                  <c:v>175</c:v>
                </c:pt>
                <c:pt idx="13">
                  <c:v>116.66666666666666</c:v>
                </c:pt>
                <c:pt idx="14">
                  <c:v>118.18181818181819</c:v>
                </c:pt>
                <c:pt idx="15">
                  <c:v>115.38461538461539</c:v>
                </c:pt>
                <c:pt idx="16">
                  <c:v>119.04761904761904</c:v>
                </c:pt>
                <c:pt idx="17">
                  <c:v>33.734939759036145</c:v>
                </c:pt>
                <c:pt idx="18">
                  <c:v>43.103448275862071</c:v>
                </c:pt>
                <c:pt idx="19">
                  <c:v>40.506329113924046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18-49DA-A549-0334490304F2}"/>
            </c:ext>
          </c:extLst>
        </c:ser>
        <c:ser>
          <c:idx val="1"/>
          <c:order val="1"/>
          <c:tx>
            <c:strRef>
              <c:f>'7_Seeps'!$E$48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'7_Seeps'!$B$49:$B$67</c:f>
              <c:numCache>
                <c:formatCode>General</c:formatCode>
                <c:ptCount val="19"/>
              </c:numCache>
            </c:numRef>
          </c:xVal>
          <c:yVal>
            <c:numRef>
              <c:f>'7_Seeps'!$E$49:$E$67</c:f>
              <c:numCache>
                <c:formatCode>General</c:formatCode>
                <c:ptCount val="19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118-49DA-A549-0334490304F2}"/>
            </c:ext>
          </c:extLst>
        </c:ser>
        <c:ser>
          <c:idx val="0"/>
          <c:order val="2"/>
          <c:tx>
            <c:strRef>
              <c:f>'7_Seeps'!$E$4</c:f>
              <c:strCache>
                <c:ptCount val="1"/>
                <c:pt idx="0">
                  <c:v>Discharge 
(mL/s)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'7_Seeps'!$B$5:$B$22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1</c:v>
                </c:pt>
                <c:pt idx="17">
                  <c:v>2</c:v>
                </c:pt>
              </c:numCache>
            </c:numRef>
          </c:xVal>
          <c:yVal>
            <c:numRef>
              <c:f>'7_Seeps'!$E$5:$E$22</c:f>
              <c:numCache>
                <c:formatCode>0_);[Red]\(0\)</c:formatCode>
                <c:ptCount val="18"/>
                <c:pt idx="0">
                  <c:v>58.139534883720934</c:v>
                </c:pt>
                <c:pt idx="1">
                  <c:v>58.139534883720934</c:v>
                </c:pt>
                <c:pt idx="2">
                  <c:v>62.5</c:v>
                </c:pt>
                <c:pt idx="3">
                  <c:v>340.90909090909088</c:v>
                </c:pt>
                <c:pt idx="4">
                  <c:v>206.18556701030928</c:v>
                </c:pt>
                <c:pt idx="5">
                  <c:v>357.14285714285717</c:v>
                </c:pt>
                <c:pt idx="6">
                  <c:v>303.64372469635623</c:v>
                </c:pt>
                <c:pt idx="7">
                  <c:v>114.85451761102603</c:v>
                </c:pt>
                <c:pt idx="8">
                  <c:v>119.04761904761905</c:v>
                </c:pt>
                <c:pt idx="9">
                  <c:v>175</c:v>
                </c:pt>
                <c:pt idx="10">
                  <c:v>238.09523809523807</c:v>
                </c:pt>
                <c:pt idx="11">
                  <c:v>180</c:v>
                </c:pt>
                <c:pt idx="12">
                  <c:v>180</c:v>
                </c:pt>
                <c:pt idx="13">
                  <c:v>87.096774193548384</c:v>
                </c:pt>
                <c:pt idx="14">
                  <c:v>68.292682926829272</c:v>
                </c:pt>
                <c:pt idx="15">
                  <c:v>65.217391304347828</c:v>
                </c:pt>
                <c:pt idx="16">
                  <c:v>46.05263157894737</c:v>
                </c:pt>
                <c:pt idx="17">
                  <c:v>51.282051282051285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118-49DA-A549-033449030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597552"/>
        <c:axId val="533597944"/>
      </c:scatterChart>
      <c:valAx>
        <c:axId val="5335975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597944"/>
        <c:crosses val="autoZero"/>
        <c:crossBetween val="midCat"/>
      </c:valAx>
      <c:valAx>
        <c:axId val="53359794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;[Red]\(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59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513835813772666E-2"/>
          <c:y val="1.4123972403989849E-2"/>
          <c:w val="0.94837459129315838"/>
          <c:h val="0.8884693213615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'7_Seeps'!$G$26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'7_Seeps'!$B$27:$B$46</c:f>
              <c:numCache>
                <c:formatCode>General</c:formatCode>
                <c:ptCount val="20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</c:numCache>
            </c:numRef>
          </c:xVal>
          <c:yVal>
            <c:numRef>
              <c:f>'7_Seeps'!$G$27:$G$46</c:f>
              <c:numCache>
                <c:formatCode>0.00</c:formatCode>
                <c:ptCount val="20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97-491C-8B0C-16B6C098614C}"/>
            </c:ext>
          </c:extLst>
        </c:ser>
        <c:ser>
          <c:idx val="1"/>
          <c:order val="1"/>
          <c:tx>
            <c:strRef>
              <c:f>'7_Seeps'!$G$48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'7_Seeps'!$B$49:$B$67</c:f>
              <c:numCache>
                <c:formatCode>General</c:formatCode>
                <c:ptCount val="19"/>
              </c:numCache>
            </c:numRef>
          </c:xVal>
          <c:yVal>
            <c:numRef>
              <c:f>'7_Seeps'!$G$49:$G$67</c:f>
              <c:numCache>
                <c:formatCode>0.00</c:formatCode>
                <c:ptCount val="19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97-491C-8B0C-16B6C098614C}"/>
            </c:ext>
          </c:extLst>
        </c:ser>
        <c:ser>
          <c:idx val="0"/>
          <c:order val="2"/>
          <c:tx>
            <c:strRef>
              <c:f>'7_Seeps'!$G$4</c:f>
              <c:strCache>
                <c:ptCount val="1"/>
                <c:pt idx="0">
                  <c:v>Notes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'7_Seeps'!$B$5:$B$22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1</c:v>
                </c:pt>
                <c:pt idx="17">
                  <c:v>2</c:v>
                </c:pt>
              </c:numCache>
            </c:numRef>
          </c:xVal>
          <c:yVal>
            <c:numRef>
              <c:f>'7_Seeps'!$G$5:$G$22</c:f>
              <c:numCache>
                <c:formatCode>0.00</c:formatCode>
                <c:ptCount val="18"/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397-491C-8B0C-16B6C0986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598728"/>
        <c:axId val="673332528"/>
      </c:scatterChart>
      <c:valAx>
        <c:axId val="5335987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332528"/>
        <c:crosses val="autoZero"/>
        <c:crossBetween val="midCat"/>
      </c:valAx>
      <c:valAx>
        <c:axId val="67333252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5987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'12_dischargeSummary'!$O$5:$O$7</c:f>
                <c:numCache>
                  <c:formatCode>General</c:formatCode>
                  <c:ptCount val="3"/>
                  <c:pt idx="0">
                    <c:v>21.184564556392623</c:v>
                  </c:pt>
                  <c:pt idx="1">
                    <c:v>10.880588204736709</c:v>
                  </c:pt>
                  <c:pt idx="2">
                    <c:v>15.153392545436752</c:v>
                  </c:pt>
                </c:numCache>
              </c:numRef>
            </c:plus>
            <c:minus>
              <c:numRef>
                <c:f>'12_dischargeSummary'!$O$5:$O$7</c:f>
                <c:numCache>
                  <c:formatCode>General</c:formatCode>
                  <c:ptCount val="3"/>
                  <c:pt idx="0">
                    <c:v>21.184564556392623</c:v>
                  </c:pt>
                  <c:pt idx="1">
                    <c:v>10.880588204736709</c:v>
                  </c:pt>
                  <c:pt idx="2">
                    <c:v>15.153392545436752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'12_dischargeSummary'!$A$5:$A$7</c:f>
              <c:strCache>
                <c:ptCount val="3"/>
                <c:pt idx="0">
                  <c:v>FCD-1</c:v>
                </c:pt>
                <c:pt idx="1">
                  <c:v>FCD-2A</c:v>
                </c:pt>
                <c:pt idx="2">
                  <c:v>FCD-2</c:v>
                </c:pt>
              </c:strCache>
            </c:strRef>
          </c:cat>
          <c:val>
            <c:numRef>
              <c:f>'12_dischargeSummary'!$E$5:$E$7</c:f>
              <c:numCache>
                <c:formatCode>0</c:formatCode>
                <c:ptCount val="3"/>
                <c:pt idx="0">
                  <c:v>378.80432794879624</c:v>
                </c:pt>
                <c:pt idx="1">
                  <c:v>393.84143553794667</c:v>
                </c:pt>
                <c:pt idx="2">
                  <c:v>392.98232246266389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7-4C1B-9029-76DCF4618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3701800"/>
        <c:axId val="673702192"/>
      </c:lineChart>
      <c:catAx>
        <c:axId val="673701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702192"/>
        <c:crosses val="autoZero"/>
        <c:auto val="1"/>
        <c:lblAlgn val="ctr"/>
        <c:lblOffset val="100"/>
        <c:noMultiLvlLbl val="0"/>
      </c:catAx>
      <c:valAx>
        <c:axId val="67370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70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construct!$K$1</c:f>
              <c:strCache>
                <c:ptCount val="1"/>
                <c:pt idx="0">
                  <c:v>GWE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construct!$A$8:$A$10</c:f>
              <c:strCache>
                <c:ptCount val="3"/>
                <c:pt idx="0">
                  <c:v>CH15-106-MW005</c:v>
                </c:pt>
                <c:pt idx="1">
                  <c:v>CH15-106-MW006</c:v>
                </c:pt>
                <c:pt idx="2">
                  <c:v>CH15-106-MW010</c:v>
                </c:pt>
              </c:strCache>
            </c:strRef>
          </c:cat>
          <c:val>
            <c:numRef>
              <c:f>construct!$K$8:$K$10</c:f>
              <c:numCache>
                <c:formatCode>0.00</c:formatCode>
                <c:ptCount val="3"/>
                <c:pt idx="0">
                  <c:v>1311.6969999999999</c:v>
                </c:pt>
                <c:pt idx="1">
                  <c:v>1312.3109999999999</c:v>
                </c:pt>
                <c:pt idx="2">
                  <c:v>1312.701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A9-40AC-8333-83D455A132E9}"/>
            </c:ext>
          </c:extLst>
        </c:ser>
        <c:ser>
          <c:idx val="1"/>
          <c:order val="1"/>
          <c:tx>
            <c:strRef>
              <c:f>construct!$L$1</c:f>
              <c:strCache>
                <c:ptCount val="1"/>
                <c:pt idx="0">
                  <c:v>TX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construct!$A$8:$A$10</c:f>
              <c:strCache>
                <c:ptCount val="3"/>
                <c:pt idx="0">
                  <c:v>CH15-106-MW005</c:v>
                </c:pt>
                <c:pt idx="1">
                  <c:v>CH15-106-MW006</c:v>
                </c:pt>
                <c:pt idx="2">
                  <c:v>CH15-106-MW010</c:v>
                </c:pt>
              </c:strCache>
            </c:strRef>
          </c:cat>
          <c:val>
            <c:numRef>
              <c:f>construct!$L$8:$L$10</c:f>
              <c:numCache>
                <c:formatCode>0.00</c:formatCode>
                <c:ptCount val="3"/>
                <c:pt idx="0">
                  <c:v>1308.6489999999999</c:v>
                </c:pt>
                <c:pt idx="1">
                  <c:v>1309.38492</c:v>
                </c:pt>
                <c:pt idx="2">
                  <c:v>1309.653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A9-40AC-8333-83D455A132E9}"/>
            </c:ext>
          </c:extLst>
        </c:ser>
        <c:ser>
          <c:idx val="2"/>
          <c:order val="2"/>
          <c:tx>
            <c:strRef>
              <c:f>construct!$M$1</c:f>
              <c:strCache>
                <c:ptCount val="1"/>
                <c:pt idx="0">
                  <c:v>BX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construct!$A$8:$A$10</c:f>
              <c:strCache>
                <c:ptCount val="3"/>
                <c:pt idx="0">
                  <c:v>CH15-106-MW005</c:v>
                </c:pt>
                <c:pt idx="1">
                  <c:v>CH15-106-MW006</c:v>
                </c:pt>
                <c:pt idx="2">
                  <c:v>CH15-106-MW010</c:v>
                </c:pt>
              </c:strCache>
            </c:strRef>
          </c:cat>
          <c:val>
            <c:numRef>
              <c:f>construct!$M$8:$M$10</c:f>
              <c:numCache>
                <c:formatCode>0.00</c:formatCode>
                <c:ptCount val="3"/>
                <c:pt idx="0">
                  <c:v>1305.6009999999999</c:v>
                </c:pt>
                <c:pt idx="1">
                  <c:v>1306.33692</c:v>
                </c:pt>
                <c:pt idx="2">
                  <c:v>1306.605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4A9-40AC-8333-83D455A132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702976"/>
        <c:axId val="673703368"/>
      </c:lineChart>
      <c:catAx>
        <c:axId val="673702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703368"/>
        <c:crosses val="autoZero"/>
        <c:auto val="1"/>
        <c:lblAlgn val="ctr"/>
        <c:lblOffset val="100"/>
        <c:noMultiLvlLbl val="0"/>
      </c:catAx>
      <c:valAx>
        <c:axId val="673703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702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167776043773903E-2"/>
          <c:y val="7.9631197768103332E-2"/>
          <c:w val="0.9427690725151433"/>
          <c:h val="0.81650318581776848"/>
        </c:manualLayout>
      </c:layout>
      <c:lineChart>
        <c:grouping val="standard"/>
        <c:varyColors val="0"/>
        <c:ser>
          <c:idx val="0"/>
          <c:order val="0"/>
          <c:tx>
            <c:strRef>
              <c:f>construct!$K$1</c:f>
              <c:strCache>
                <c:ptCount val="1"/>
                <c:pt idx="0">
                  <c:v>GWE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construct!$A$8:$A$10</c:f>
              <c:strCache>
                <c:ptCount val="3"/>
                <c:pt idx="0">
                  <c:v>CH15-106-MW005</c:v>
                </c:pt>
                <c:pt idx="1">
                  <c:v>CH15-106-MW006</c:v>
                </c:pt>
                <c:pt idx="2">
                  <c:v>CH15-106-MW010</c:v>
                </c:pt>
              </c:strCache>
            </c:strRef>
          </c:cat>
          <c:val>
            <c:numRef>
              <c:f>construct!$K$8:$K$10</c:f>
              <c:numCache>
                <c:formatCode>0.00</c:formatCode>
                <c:ptCount val="3"/>
                <c:pt idx="0">
                  <c:v>1311.6969999999999</c:v>
                </c:pt>
                <c:pt idx="1">
                  <c:v>1312.3109999999999</c:v>
                </c:pt>
                <c:pt idx="2">
                  <c:v>1312.701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5B8-4F60-9E3B-4CB5C6331F18}"/>
            </c:ext>
          </c:extLst>
        </c:ser>
        <c:ser>
          <c:idx val="1"/>
          <c:order val="1"/>
          <c:tx>
            <c:strRef>
              <c:f>construct!$L$1</c:f>
              <c:strCache>
                <c:ptCount val="1"/>
                <c:pt idx="0">
                  <c:v>TX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construct!$A$8:$A$10</c:f>
              <c:strCache>
                <c:ptCount val="3"/>
                <c:pt idx="0">
                  <c:v>CH15-106-MW005</c:v>
                </c:pt>
                <c:pt idx="1">
                  <c:v>CH15-106-MW006</c:v>
                </c:pt>
                <c:pt idx="2">
                  <c:v>CH15-106-MW010</c:v>
                </c:pt>
              </c:strCache>
            </c:strRef>
          </c:cat>
          <c:val>
            <c:numRef>
              <c:f>construct!$L$8:$L$10</c:f>
              <c:numCache>
                <c:formatCode>0.00</c:formatCode>
                <c:ptCount val="3"/>
                <c:pt idx="0">
                  <c:v>1308.6489999999999</c:v>
                </c:pt>
                <c:pt idx="1">
                  <c:v>1309.38492</c:v>
                </c:pt>
                <c:pt idx="2">
                  <c:v>1309.653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5B8-4F60-9E3B-4CB5C6331F18}"/>
            </c:ext>
          </c:extLst>
        </c:ser>
        <c:ser>
          <c:idx val="2"/>
          <c:order val="2"/>
          <c:tx>
            <c:strRef>
              <c:f>construct!$M$1</c:f>
              <c:strCache>
                <c:ptCount val="1"/>
                <c:pt idx="0">
                  <c:v>BX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construct!$A$8:$A$10</c:f>
              <c:strCache>
                <c:ptCount val="3"/>
                <c:pt idx="0">
                  <c:v>CH15-106-MW005</c:v>
                </c:pt>
                <c:pt idx="1">
                  <c:v>CH15-106-MW006</c:v>
                </c:pt>
                <c:pt idx="2">
                  <c:v>CH15-106-MW010</c:v>
                </c:pt>
              </c:strCache>
            </c:strRef>
          </c:cat>
          <c:val>
            <c:numRef>
              <c:f>construct!$M$8:$M$10</c:f>
              <c:numCache>
                <c:formatCode>0.00</c:formatCode>
                <c:ptCount val="3"/>
                <c:pt idx="0">
                  <c:v>1305.6009999999999</c:v>
                </c:pt>
                <c:pt idx="1">
                  <c:v>1306.33692</c:v>
                </c:pt>
                <c:pt idx="2">
                  <c:v>1306.605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5B8-4F60-9E3B-4CB5C6331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704152"/>
        <c:axId val="673704544"/>
      </c:lineChart>
      <c:catAx>
        <c:axId val="673704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704544"/>
        <c:crosses val="autoZero"/>
        <c:auto val="1"/>
        <c:lblAlgn val="ctr"/>
        <c:lblOffset val="100"/>
        <c:noMultiLvlLbl val="0"/>
      </c:catAx>
      <c:valAx>
        <c:axId val="673704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704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9568560729939499E-2"/>
          <c:y val="7.9631175738331186E-2"/>
          <c:w val="0.9427690725151433"/>
          <c:h val="0.81650318581776848"/>
        </c:manualLayout>
      </c:layout>
      <c:lineChart>
        <c:grouping val="standard"/>
        <c:varyColors val="0"/>
        <c:ser>
          <c:idx val="0"/>
          <c:order val="0"/>
          <c:tx>
            <c:strRef>
              <c:f>construct!$K$1</c:f>
              <c:strCache>
                <c:ptCount val="1"/>
                <c:pt idx="0">
                  <c:v>GWE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construct!$A$2:$A$4</c:f>
              <c:strCache>
                <c:ptCount val="3"/>
                <c:pt idx="0">
                  <c:v>CH15-106-MW001</c:v>
                </c:pt>
                <c:pt idx="1">
                  <c:v>CH15-106-MW002</c:v>
                </c:pt>
                <c:pt idx="2">
                  <c:v>CH15-106-MW007</c:v>
                </c:pt>
              </c:strCache>
            </c:strRef>
          </c:cat>
          <c:val>
            <c:numRef>
              <c:f>construct!$K$2:$K$4</c:f>
              <c:numCache>
                <c:formatCode>0.00</c:formatCode>
                <c:ptCount val="3"/>
                <c:pt idx="0">
                  <c:v>1324.2090000000001</c:v>
                </c:pt>
                <c:pt idx="1">
                  <c:v>1322.152</c:v>
                </c:pt>
                <c:pt idx="2">
                  <c:v>1315.7449999999999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AC0-4AE5-B61C-937CEECAC78E}"/>
            </c:ext>
          </c:extLst>
        </c:ser>
        <c:ser>
          <c:idx val="1"/>
          <c:order val="1"/>
          <c:tx>
            <c:strRef>
              <c:f>construct!$L$1</c:f>
              <c:strCache>
                <c:ptCount val="1"/>
                <c:pt idx="0">
                  <c:v>TX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construct!$A$2:$A$4</c:f>
              <c:strCache>
                <c:ptCount val="3"/>
                <c:pt idx="0">
                  <c:v>CH15-106-MW001</c:v>
                </c:pt>
                <c:pt idx="1">
                  <c:v>CH15-106-MW002</c:v>
                </c:pt>
                <c:pt idx="2">
                  <c:v>CH15-106-MW007</c:v>
                </c:pt>
              </c:strCache>
            </c:strRef>
          </c:cat>
          <c:val>
            <c:numRef>
              <c:f>construct!$L$2:$L$4</c:f>
              <c:numCache>
                <c:formatCode>0.00</c:formatCode>
                <c:ptCount val="3"/>
                <c:pt idx="0">
                  <c:v>1316.7414000000001</c:v>
                </c:pt>
                <c:pt idx="1">
                  <c:v>1316.056</c:v>
                </c:pt>
                <c:pt idx="2">
                  <c:v>1313.3065999999999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AC0-4AE5-B61C-937CEECAC78E}"/>
            </c:ext>
          </c:extLst>
        </c:ser>
        <c:ser>
          <c:idx val="2"/>
          <c:order val="2"/>
          <c:tx>
            <c:strRef>
              <c:f>construct!$M$1</c:f>
              <c:strCache>
                <c:ptCount val="1"/>
                <c:pt idx="0">
                  <c:v>BX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construct!$A$2:$A$4</c:f>
              <c:strCache>
                <c:ptCount val="3"/>
                <c:pt idx="0">
                  <c:v>CH15-106-MW001</c:v>
                </c:pt>
                <c:pt idx="1">
                  <c:v>CH15-106-MW002</c:v>
                </c:pt>
                <c:pt idx="2">
                  <c:v>CH15-106-MW007</c:v>
                </c:pt>
              </c:strCache>
            </c:strRef>
          </c:cat>
          <c:val>
            <c:numRef>
              <c:f>construct!$M$2:$M$4</c:f>
              <c:numCache>
                <c:formatCode>0.00</c:formatCode>
                <c:ptCount val="3"/>
                <c:pt idx="0">
                  <c:v>1313.6934000000001</c:v>
                </c:pt>
                <c:pt idx="1">
                  <c:v>1313.008</c:v>
                </c:pt>
                <c:pt idx="2">
                  <c:v>1310.2585999999999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AC0-4AE5-B61C-937CEECAC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221880"/>
        <c:axId val="674222272"/>
      </c:lineChart>
      <c:catAx>
        <c:axId val="674221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22272"/>
        <c:crosses val="autoZero"/>
        <c:auto val="1"/>
        <c:lblAlgn val="ctr"/>
        <c:lblOffset val="100"/>
        <c:noMultiLvlLbl val="0"/>
      </c:catAx>
      <c:valAx>
        <c:axId val="674222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21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44425498305E-2"/>
          <c:y val="7.4851744307536008E-2"/>
          <c:w val="0.91103726422667453"/>
          <c:h val="0.67853856332411833"/>
        </c:manualLayout>
      </c:layout>
      <c:lineChart>
        <c:grouping val="standard"/>
        <c:varyColors val="0"/>
        <c:ser>
          <c:idx val="0"/>
          <c:order val="0"/>
          <c:tx>
            <c:v>Stream Discharge</c:v>
          </c:tx>
          <c:spPr>
            <a:ln w="28575" cap="rnd">
              <a:noFill/>
              <a:round/>
            </a:ln>
            <a:effectLst/>
          </c:spPr>
          <c:marker>
            <c:symbol val="x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'12_dischargeSummary'!$O$5:$O$7</c:f>
                <c:numCache>
                  <c:formatCode>General</c:formatCode>
                  <c:ptCount val="3"/>
                  <c:pt idx="0">
                    <c:v>21.184564556392623</c:v>
                  </c:pt>
                  <c:pt idx="1">
                    <c:v>10.880588204736709</c:v>
                  </c:pt>
                  <c:pt idx="2">
                    <c:v>15.153392545436752</c:v>
                  </c:pt>
                </c:numCache>
              </c:numRef>
            </c:plus>
            <c:minus>
              <c:numRef>
                <c:f>'12_dischargeSummary'!$O$5:$O$7</c:f>
                <c:numCache>
                  <c:formatCode>General</c:formatCode>
                  <c:ptCount val="3"/>
                  <c:pt idx="0">
                    <c:v>21.184564556392623</c:v>
                  </c:pt>
                  <c:pt idx="1">
                    <c:v>10.880588204736709</c:v>
                  </c:pt>
                  <c:pt idx="2">
                    <c:v>15.153392545436752</c:v>
                  </c:pt>
                </c:numCache>
              </c:numRef>
            </c:minus>
            <c:spPr>
              <a:noFill/>
              <a:ln w="12700" cap="sq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'12_dischargeSummary'!$A$5:$A$7</c:f>
              <c:strCache>
                <c:ptCount val="3"/>
                <c:pt idx="0">
                  <c:v>FCD-1</c:v>
                </c:pt>
                <c:pt idx="1">
                  <c:v>FCD-2A</c:v>
                </c:pt>
                <c:pt idx="2">
                  <c:v>FCD-2</c:v>
                </c:pt>
              </c:strCache>
            </c:strRef>
          </c:cat>
          <c:val>
            <c:numRef>
              <c:f>'12_dischargeSummary'!$E$5:$E$7</c:f>
              <c:numCache>
                <c:formatCode>0</c:formatCode>
                <c:ptCount val="3"/>
                <c:pt idx="0">
                  <c:v>378.80432794879624</c:v>
                </c:pt>
                <c:pt idx="1">
                  <c:v>393.84143553794667</c:v>
                </c:pt>
                <c:pt idx="2">
                  <c:v>392.98232246266389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46-4A7E-8498-09812D18F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4223056"/>
        <c:axId val="674223448"/>
      </c:lineChart>
      <c:catAx>
        <c:axId val="67422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23448"/>
        <c:crosses val="autoZero"/>
        <c:auto val="0"/>
        <c:lblAlgn val="ctr"/>
        <c:lblOffset val="100"/>
        <c:noMultiLvlLbl val="0"/>
      </c:catAx>
      <c:valAx>
        <c:axId val="674223448"/>
        <c:scaling>
          <c:orientation val="minMax"/>
          <c:min val="35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Discharge (L/s)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223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940399935779951E-2"/>
          <c:y val="0.85771600980325324"/>
          <c:w val="0.17646956376513923"/>
          <c:h val="4.13784303321795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</a:defRPr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FF0000"/>
  </sheetPr>
  <sheetViews>
    <sheetView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355021</xdr:colOff>
      <xdr:row>17</xdr:row>
      <xdr:rowOff>169718</xdr:rowOff>
    </xdr:from>
    <xdr:to>
      <xdr:col>36</xdr:col>
      <xdr:colOff>450272</xdr:colOff>
      <xdr:row>42</xdr:row>
      <xdr:rowOff>51954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34636</xdr:colOff>
      <xdr:row>11</xdr:row>
      <xdr:rowOff>121228</xdr:rowOff>
    </xdr:from>
    <xdr:to>
      <xdr:col>35</xdr:col>
      <xdr:colOff>129887</xdr:colOff>
      <xdr:row>36</xdr:row>
      <xdr:rowOff>3464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536864</xdr:colOff>
      <xdr:row>28</xdr:row>
      <xdr:rowOff>173182</xdr:rowOff>
    </xdr:from>
    <xdr:to>
      <xdr:col>37</xdr:col>
      <xdr:colOff>25978</xdr:colOff>
      <xdr:row>53</xdr:row>
      <xdr:rowOff>55418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355021</xdr:colOff>
      <xdr:row>17</xdr:row>
      <xdr:rowOff>169718</xdr:rowOff>
    </xdr:from>
    <xdr:to>
      <xdr:col>36</xdr:col>
      <xdr:colOff>450272</xdr:colOff>
      <xdr:row>44</xdr:row>
      <xdr:rowOff>51954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34636</xdr:colOff>
      <xdr:row>11</xdr:row>
      <xdr:rowOff>121228</xdr:rowOff>
    </xdr:from>
    <xdr:to>
      <xdr:col>35</xdr:col>
      <xdr:colOff>129887</xdr:colOff>
      <xdr:row>38</xdr:row>
      <xdr:rowOff>3464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536864</xdr:colOff>
      <xdr:row>30</xdr:row>
      <xdr:rowOff>173182</xdr:rowOff>
    </xdr:from>
    <xdr:to>
      <xdr:col>37</xdr:col>
      <xdr:colOff>25978</xdr:colOff>
      <xdr:row>56</xdr:row>
      <xdr:rowOff>55418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355021</xdr:colOff>
      <xdr:row>17</xdr:row>
      <xdr:rowOff>169718</xdr:rowOff>
    </xdr:from>
    <xdr:to>
      <xdr:col>36</xdr:col>
      <xdr:colOff>450272</xdr:colOff>
      <xdr:row>44</xdr:row>
      <xdr:rowOff>51954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34636</xdr:colOff>
      <xdr:row>11</xdr:row>
      <xdr:rowOff>121228</xdr:rowOff>
    </xdr:from>
    <xdr:to>
      <xdr:col>35</xdr:col>
      <xdr:colOff>129887</xdr:colOff>
      <xdr:row>38</xdr:row>
      <xdr:rowOff>3464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536864</xdr:colOff>
      <xdr:row>30</xdr:row>
      <xdr:rowOff>173182</xdr:rowOff>
    </xdr:from>
    <xdr:to>
      <xdr:col>37</xdr:col>
      <xdr:colOff>25978</xdr:colOff>
      <xdr:row>56</xdr:row>
      <xdr:rowOff>55418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355021</xdr:colOff>
      <xdr:row>13</xdr:row>
      <xdr:rowOff>169718</xdr:rowOff>
    </xdr:from>
    <xdr:to>
      <xdr:col>36</xdr:col>
      <xdr:colOff>450272</xdr:colOff>
      <xdr:row>39</xdr:row>
      <xdr:rowOff>51954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34636</xdr:colOff>
      <xdr:row>9</xdr:row>
      <xdr:rowOff>121228</xdr:rowOff>
    </xdr:from>
    <xdr:to>
      <xdr:col>35</xdr:col>
      <xdr:colOff>129887</xdr:colOff>
      <xdr:row>33</xdr:row>
      <xdr:rowOff>3464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536864</xdr:colOff>
      <xdr:row>26</xdr:row>
      <xdr:rowOff>173182</xdr:rowOff>
    </xdr:from>
    <xdr:to>
      <xdr:col>37</xdr:col>
      <xdr:colOff>25978</xdr:colOff>
      <xdr:row>49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50425</xdr:colOff>
      <xdr:row>9</xdr:row>
      <xdr:rowOff>17929</xdr:rowOff>
    </xdr:from>
    <xdr:to>
      <xdr:col>18</xdr:col>
      <xdr:colOff>274543</xdr:colOff>
      <xdr:row>24</xdr:row>
      <xdr:rowOff>60512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278944</xdr:colOff>
      <xdr:row>16</xdr:row>
      <xdr:rowOff>43541</xdr:rowOff>
    </xdr:from>
    <xdr:to>
      <xdr:col>17</xdr:col>
      <xdr:colOff>1523998</xdr:colOff>
      <xdr:row>43</xdr:row>
      <xdr:rowOff>122464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649941</xdr:colOff>
      <xdr:row>17</xdr:row>
      <xdr:rowOff>100852</xdr:rowOff>
    </xdr:from>
    <xdr:to>
      <xdr:col>15</xdr:col>
      <xdr:colOff>556292</xdr:colOff>
      <xdr:row>47</xdr:row>
      <xdr:rowOff>141674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896472</xdr:colOff>
      <xdr:row>15</xdr:row>
      <xdr:rowOff>100854</xdr:rowOff>
    </xdr:from>
    <xdr:to>
      <xdr:col>11</xdr:col>
      <xdr:colOff>169770</xdr:colOff>
      <xdr:row>46</xdr:row>
      <xdr:rowOff>186500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70192" cy="62930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0.00376</cdr:x>
      <cdr:y>0.00259</cdr:y>
    </cdr:from>
    <cdr:to>
      <cdr:x>0.99531</cdr:x>
      <cdr:y>0.97542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32564" y="16282"/>
          <a:ext cx="8596923" cy="6122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0.73782</cdr:x>
      <cdr:y>0.86092</cdr:y>
    </cdr:from>
    <cdr:to>
      <cdr:x>0.95951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397058" y="5417803"/>
          <a:ext cx="1922074" cy="875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dirty="0"/>
            <a:t>FIGURE</a:t>
          </a:r>
          <a:r>
            <a:rPr lang="en-US" sz="1200" baseline="0" dirty="0"/>
            <a:t> 7</a:t>
          </a:r>
        </a:p>
        <a:p xmlns:a="http://schemas.openxmlformats.org/drawingml/2006/main">
          <a:r>
            <a:rPr lang="en-US" sz="1200" b="1" baseline="0" dirty="0"/>
            <a:t>Discharge Measurements on FCD</a:t>
          </a:r>
        </a:p>
        <a:p xmlns:a="http://schemas.openxmlformats.org/drawingml/2006/main">
          <a:r>
            <a:rPr lang="en-US" sz="800" b="0" baseline="0" dirty="0"/>
            <a:t>Faro Mine Remediation Project</a:t>
          </a:r>
          <a:endParaRPr lang="en-US" sz="800" b="0" dirty="0"/>
        </a:p>
      </cdr:txBody>
    </cdr:sp>
  </cdr:relSizeAnchor>
  <cdr:relSizeAnchor xmlns:cdr="http://schemas.openxmlformats.org/drawingml/2006/chartDrawing">
    <cdr:from>
      <cdr:x>0.91491</cdr:x>
      <cdr:y>0.96284</cdr:y>
    </cdr:from>
    <cdr:to>
      <cdr:x>0.97968</cdr:x>
      <cdr:y>0.98577</cdr:y>
    </cdr:to>
    <cdr:pic>
      <cdr:nvPicPr>
        <cdr:cNvPr id="4" name="Picture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932445" y="6059156"/>
          <a:ext cx="561583" cy="14430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"/>
  <sheetViews>
    <sheetView view="pageBreakPreview" zoomScaleNormal="55" zoomScaleSheetLayoutView="100" workbookViewId="0">
      <pane xSplit="1" ySplit="3" topLeftCell="B7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1" defaultRowHeight="14.4" x14ac:dyDescent="0.3"/>
  <cols>
    <col min="1" max="1" width="14.6640625" style="78" customWidth="1"/>
    <col min="2" max="2" width="12.33203125" style="85" customWidth="1"/>
    <col min="3" max="3" width="11.88671875" style="78" customWidth="1"/>
    <col min="4" max="4" width="14.6640625" style="78" customWidth="1"/>
    <col min="5" max="5" width="13.5546875" style="78" customWidth="1"/>
    <col min="6" max="6" width="11.88671875" style="78" customWidth="1"/>
    <col min="7" max="7" width="14.6640625" style="78" customWidth="1"/>
    <col min="8" max="8" width="13.5546875" style="78" customWidth="1"/>
    <col min="9" max="9" width="11.88671875" style="78" customWidth="1"/>
    <col min="10" max="10" width="1.88671875" style="78" customWidth="1"/>
    <col min="11" max="11" width="18.6640625" style="78" bestFit="1" customWidth="1"/>
    <col min="12" max="12" width="15.88671875" style="78" bestFit="1" customWidth="1"/>
    <col min="13" max="13" width="13.5546875" style="78" bestFit="1" customWidth="1"/>
    <col min="14" max="14" width="1.88671875" style="78" customWidth="1"/>
    <col min="15" max="15" width="18.5546875" style="78" bestFit="1" customWidth="1"/>
    <col min="16" max="16" width="15.88671875" style="78" bestFit="1" customWidth="1"/>
    <col min="17" max="17" width="13.5546875" style="78" bestFit="1" customWidth="1"/>
    <col min="18" max="18" width="9.6640625" style="78" customWidth="1"/>
    <col min="19" max="19" width="18.6640625" style="78" bestFit="1" customWidth="1"/>
    <col min="20" max="20" width="15.88671875" style="78" bestFit="1" customWidth="1"/>
    <col min="21" max="21" width="13.5546875" style="78" bestFit="1" customWidth="1"/>
    <col min="22" max="22" width="1.33203125" style="78" customWidth="1"/>
    <col min="23" max="23" width="18.5546875" style="96" bestFit="1" customWidth="1"/>
    <col min="24" max="24" width="15.88671875" style="85" bestFit="1" customWidth="1"/>
    <col min="25" max="25" width="23.109375" style="78" bestFit="1" customWidth="1"/>
    <col min="26" max="26" width="5.44140625" style="78" customWidth="1"/>
    <col min="27" max="27" width="18.6640625" style="78" bestFit="1" customWidth="1"/>
    <col min="28" max="28" width="15.88671875" style="78" bestFit="1" customWidth="1"/>
    <col min="29" max="29" width="13.5546875" style="78" bestFit="1" customWidth="1"/>
    <col min="30" max="30" width="1.33203125" style="78" customWidth="1"/>
    <col min="31" max="31" width="18.33203125" style="78" bestFit="1" customWidth="1"/>
    <col min="32" max="32" width="15.88671875" style="78" bestFit="1" customWidth="1"/>
    <col min="33" max="33" width="13.5546875" style="78" bestFit="1" customWidth="1"/>
    <col min="34" max="16384" width="11" style="78"/>
  </cols>
  <sheetData>
    <row r="1" spans="1:24" s="94" customFormat="1" x14ac:dyDescent="0.3">
      <c r="A1" s="90" t="s">
        <v>268</v>
      </c>
      <c r="B1" s="93"/>
      <c r="W1" s="95"/>
      <c r="X1" s="93"/>
    </row>
    <row r="2" spans="1:24" s="94" customFormat="1" ht="12" customHeight="1" x14ac:dyDescent="0.3">
      <c r="A2" s="91" t="s">
        <v>0</v>
      </c>
      <c r="B2" s="93"/>
      <c r="W2" s="95"/>
      <c r="X2" s="93"/>
    </row>
    <row r="3" spans="1:24" ht="3" customHeight="1" x14ac:dyDescent="0.3"/>
    <row r="4" spans="1:24" s="98" customFormat="1" ht="27" customHeight="1" x14ac:dyDescent="0.25">
      <c r="A4" s="107" t="s">
        <v>179</v>
      </c>
      <c r="B4" s="107" t="s">
        <v>190</v>
      </c>
      <c r="C4" s="107"/>
      <c r="D4" s="107" t="s">
        <v>179</v>
      </c>
      <c r="E4" s="107" t="s">
        <v>189</v>
      </c>
      <c r="F4" s="107"/>
      <c r="G4" s="107" t="s">
        <v>179</v>
      </c>
      <c r="H4" s="107" t="s">
        <v>189</v>
      </c>
      <c r="I4" s="107"/>
      <c r="J4" s="97"/>
      <c r="V4" s="97"/>
      <c r="W4" s="99"/>
      <c r="X4" s="100"/>
    </row>
    <row r="5" spans="1:24" s="115" customFormat="1" ht="15" customHeight="1" x14ac:dyDescent="0.3">
      <c r="A5" s="113" t="s">
        <v>155</v>
      </c>
      <c r="B5" s="113">
        <v>1324.2660000000001</v>
      </c>
      <c r="C5" s="113"/>
      <c r="D5" s="113" t="s">
        <v>134</v>
      </c>
      <c r="E5" s="113">
        <v>1322.16</v>
      </c>
      <c r="F5" s="113"/>
      <c r="G5" s="113" t="s">
        <v>139</v>
      </c>
      <c r="H5" s="113">
        <v>1298.4380000000001</v>
      </c>
      <c r="I5" s="113"/>
      <c r="J5" s="114"/>
      <c r="V5" s="114"/>
    </row>
    <row r="6" spans="1:24" s="100" customFormat="1" ht="27" customHeight="1" x14ac:dyDescent="0.25">
      <c r="A6" s="107" t="s">
        <v>188</v>
      </c>
      <c r="B6" s="107" t="s">
        <v>296</v>
      </c>
      <c r="C6" s="107" t="s">
        <v>191</v>
      </c>
      <c r="D6" s="107" t="s">
        <v>188</v>
      </c>
      <c r="E6" s="107" t="s">
        <v>296</v>
      </c>
      <c r="F6" s="107" t="s">
        <v>191</v>
      </c>
      <c r="G6" s="107" t="s">
        <v>188</v>
      </c>
      <c r="H6" s="107" t="s">
        <v>296</v>
      </c>
      <c r="I6" s="107" t="s">
        <v>191</v>
      </c>
      <c r="J6" s="97"/>
      <c r="V6" s="97"/>
    </row>
    <row r="7" spans="1:24" s="102" customFormat="1" ht="12" x14ac:dyDescent="0.25">
      <c r="A7" s="101">
        <v>42522.436111111114</v>
      </c>
      <c r="B7" s="102">
        <v>2.94</v>
      </c>
      <c r="C7" s="102">
        <f>B$5-B7</f>
        <v>1321.326</v>
      </c>
      <c r="D7" s="101">
        <v>42522.438194444447</v>
      </c>
      <c r="E7" s="102">
        <v>4.5049999999999999</v>
      </c>
      <c r="F7" s="102">
        <f>E$5-E7</f>
        <v>1317.655</v>
      </c>
      <c r="G7" s="103">
        <v>42523.379166666666</v>
      </c>
      <c r="H7" s="104">
        <v>12.677</v>
      </c>
      <c r="I7" s="102">
        <f>H$5-H7</f>
        <v>1285.7610000000002</v>
      </c>
    </row>
    <row r="8" spans="1:24" s="104" customFormat="1" ht="12" x14ac:dyDescent="0.25">
      <c r="A8" s="103">
        <v>42523.5625</v>
      </c>
      <c r="B8" s="102">
        <v>2.988</v>
      </c>
      <c r="C8" s="102">
        <f t="shared" ref="C8:C25" si="0">B$5-B8</f>
        <v>1321.278</v>
      </c>
      <c r="D8" s="103">
        <v>42523.558333333334</v>
      </c>
      <c r="E8" s="104">
        <v>4.4749999999999996</v>
      </c>
      <c r="F8" s="102">
        <f t="shared" ref="F8:F26" si="1">E$5-E8</f>
        <v>1317.6850000000002</v>
      </c>
      <c r="G8" s="103">
        <v>42524.422222222223</v>
      </c>
      <c r="H8" s="104">
        <v>12.725</v>
      </c>
      <c r="I8" s="102">
        <f>H$5-H8</f>
        <v>1285.7130000000002</v>
      </c>
    </row>
    <row r="9" spans="1:24" s="104" customFormat="1" ht="12" x14ac:dyDescent="0.25">
      <c r="A9" s="103">
        <v>42523.615277777775</v>
      </c>
      <c r="B9" s="102">
        <v>2.988</v>
      </c>
      <c r="C9" s="102">
        <f t="shared" si="0"/>
        <v>1321.278</v>
      </c>
      <c r="D9" s="105">
        <v>42525.393055555556</v>
      </c>
      <c r="E9" s="104">
        <v>4.3600000000000003</v>
      </c>
      <c r="F9" s="102">
        <f t="shared" si="1"/>
        <v>1317.8000000000002</v>
      </c>
      <c r="G9" s="103">
        <v>42528.494444444441</v>
      </c>
      <c r="H9" s="104">
        <v>12.605</v>
      </c>
      <c r="I9" s="102">
        <f>H$5-H9</f>
        <v>1285.8330000000001</v>
      </c>
    </row>
    <row r="10" spans="1:24" s="104" customFormat="1" ht="12" x14ac:dyDescent="0.25">
      <c r="A10" s="103">
        <v>42523.636111111111</v>
      </c>
      <c r="B10" s="102">
        <v>2.9870000000000001</v>
      </c>
      <c r="C10" s="102">
        <f t="shared" si="0"/>
        <v>1321.279</v>
      </c>
      <c r="D10" s="103">
        <v>42527.359722222223</v>
      </c>
      <c r="E10" s="102">
        <v>4.3639999999999999</v>
      </c>
      <c r="F10" s="102">
        <f t="shared" si="1"/>
        <v>1317.796</v>
      </c>
      <c r="G10" s="103">
        <v>42521.599999999999</v>
      </c>
      <c r="H10" s="104">
        <v>12.702</v>
      </c>
      <c r="I10" s="102">
        <f>H$5-H10</f>
        <v>1285.7360000000001</v>
      </c>
    </row>
    <row r="11" spans="1:24" s="104" customFormat="1" ht="12" x14ac:dyDescent="0.25">
      <c r="A11" s="103">
        <v>42523.647916666669</v>
      </c>
      <c r="B11" s="102">
        <v>2.9870000000000001</v>
      </c>
      <c r="C11" s="102">
        <f t="shared" si="0"/>
        <v>1321.279</v>
      </c>
      <c r="D11" s="103">
        <v>42528.375</v>
      </c>
      <c r="E11" s="102">
        <v>4.4850000000000003</v>
      </c>
      <c r="F11" s="102">
        <f t="shared" si="1"/>
        <v>1317.6750000000002</v>
      </c>
      <c r="G11" s="103">
        <v>42521.61041666667</v>
      </c>
      <c r="H11" s="104">
        <v>12.686</v>
      </c>
      <c r="I11" s="102">
        <f>H$5-H11</f>
        <v>1285.7520000000002</v>
      </c>
    </row>
    <row r="12" spans="1:24" s="104" customFormat="1" ht="12" x14ac:dyDescent="0.25">
      <c r="A12" s="103">
        <v>42525.393750000003</v>
      </c>
      <c r="B12" s="102">
        <v>3.0379999999999998</v>
      </c>
      <c r="C12" s="102">
        <f t="shared" si="0"/>
        <v>1321.2280000000001</v>
      </c>
      <c r="D12" s="103">
        <v>42521.540972222225</v>
      </c>
      <c r="E12" s="102">
        <v>4.6139999999999999</v>
      </c>
      <c r="F12" s="102">
        <f t="shared" si="1"/>
        <v>1317.546</v>
      </c>
    </row>
    <row r="13" spans="1:24" s="104" customFormat="1" ht="12" x14ac:dyDescent="0.25">
      <c r="A13" s="103">
        <v>42521.564583333333</v>
      </c>
      <c r="B13" s="102">
        <v>2.9340000000000002</v>
      </c>
      <c r="C13" s="102">
        <f t="shared" si="0"/>
        <v>1321.3320000000001</v>
      </c>
      <c r="D13" s="103">
        <v>42523.580555555556</v>
      </c>
      <c r="E13" s="102">
        <v>4.3609999999999998</v>
      </c>
      <c r="F13" s="102">
        <f t="shared" si="1"/>
        <v>1317.799</v>
      </c>
    </row>
    <row r="14" spans="1:24" s="104" customFormat="1" ht="12" x14ac:dyDescent="0.25">
      <c r="A14" s="103">
        <v>42527.380555555559</v>
      </c>
      <c r="B14" s="102">
        <v>3.0449999999999999</v>
      </c>
      <c r="C14" s="102">
        <f t="shared" si="0"/>
        <v>1321.221</v>
      </c>
      <c r="D14" s="103">
        <v>42523.589583333334</v>
      </c>
      <c r="E14" s="102">
        <v>4.883</v>
      </c>
      <c r="F14" s="102">
        <f t="shared" si="1"/>
        <v>1317.277</v>
      </c>
    </row>
    <row r="15" spans="1:24" s="104" customFormat="1" ht="12" x14ac:dyDescent="0.25">
      <c r="A15" s="103">
        <v>42527.395833333336</v>
      </c>
      <c r="B15" s="102">
        <v>3.0449999999999999</v>
      </c>
      <c r="C15" s="102">
        <f t="shared" si="0"/>
        <v>1321.221</v>
      </c>
      <c r="D15" s="103">
        <v>42523.620138888888</v>
      </c>
      <c r="E15" s="102">
        <v>5.3550000000000004</v>
      </c>
      <c r="F15" s="102">
        <f t="shared" si="1"/>
        <v>1316.8050000000001</v>
      </c>
    </row>
    <row r="16" spans="1:24" s="104" customFormat="1" ht="12" x14ac:dyDescent="0.25">
      <c r="A16" s="103">
        <v>42527.410416666666</v>
      </c>
      <c r="B16" s="102">
        <v>3.0449999999999999</v>
      </c>
      <c r="C16" s="102">
        <f t="shared" si="0"/>
        <v>1321.221</v>
      </c>
      <c r="D16" s="103">
        <v>42523.645138888889</v>
      </c>
      <c r="E16" s="102">
        <v>5.9020000000000001</v>
      </c>
      <c r="F16" s="102">
        <f>E$5-E16</f>
        <v>1316.258</v>
      </c>
    </row>
    <row r="17" spans="1:9" s="104" customFormat="1" ht="12" x14ac:dyDescent="0.25">
      <c r="A17" s="103">
        <v>42527.435416666667</v>
      </c>
      <c r="B17" s="102">
        <v>3.0459999999999998</v>
      </c>
      <c r="C17" s="102">
        <f t="shared" si="0"/>
        <v>1321.22</v>
      </c>
      <c r="D17" s="103">
        <v>42527.374305555553</v>
      </c>
      <c r="E17" s="102">
        <v>4.33</v>
      </c>
      <c r="F17" s="102">
        <f>E$5-E17</f>
        <v>1317.8300000000002</v>
      </c>
    </row>
    <row r="18" spans="1:9" s="104" customFormat="1" ht="12" x14ac:dyDescent="0.25">
      <c r="A18" s="103">
        <v>42527.469444444447</v>
      </c>
      <c r="B18" s="102">
        <v>3.0489999999999999</v>
      </c>
      <c r="C18" s="102">
        <f t="shared" si="0"/>
        <v>1321.2170000000001</v>
      </c>
      <c r="D18" s="103">
        <v>42527.386111111111</v>
      </c>
      <c r="E18" s="102">
        <v>5.5</v>
      </c>
      <c r="F18" s="102">
        <f t="shared" si="1"/>
        <v>1316.66</v>
      </c>
    </row>
    <row r="19" spans="1:9" s="104" customFormat="1" ht="12" x14ac:dyDescent="0.25">
      <c r="A19" s="103">
        <v>42527.496527777781</v>
      </c>
      <c r="B19" s="102">
        <v>3.05</v>
      </c>
      <c r="C19" s="102">
        <f t="shared" si="0"/>
        <v>1321.2160000000001</v>
      </c>
      <c r="D19" s="103">
        <v>42527.398611111108</v>
      </c>
      <c r="E19" s="102">
        <v>5.5380000000000003</v>
      </c>
      <c r="F19" s="102">
        <f t="shared" si="1"/>
        <v>1316.6220000000001</v>
      </c>
    </row>
    <row r="20" spans="1:9" s="104" customFormat="1" ht="12" x14ac:dyDescent="0.25">
      <c r="A20" s="103">
        <v>42527.527777777781</v>
      </c>
      <c r="B20" s="102">
        <v>3.052</v>
      </c>
      <c r="C20" s="102">
        <f t="shared" si="0"/>
        <v>1321.2140000000002</v>
      </c>
      <c r="D20" s="103">
        <v>42527.406944444447</v>
      </c>
      <c r="E20" s="102">
        <v>5.5529999999999999</v>
      </c>
      <c r="F20" s="102">
        <f t="shared" si="1"/>
        <v>1316.607</v>
      </c>
    </row>
    <row r="21" spans="1:9" s="104" customFormat="1" ht="12" x14ac:dyDescent="0.25">
      <c r="A21" s="103">
        <v>42527.571527777778</v>
      </c>
      <c r="B21" s="102">
        <v>3.0529999999999999</v>
      </c>
      <c r="C21" s="102">
        <f t="shared" si="0"/>
        <v>1321.213</v>
      </c>
      <c r="D21" s="103">
        <v>42527.432638888888</v>
      </c>
      <c r="E21" s="102">
        <v>5.5720000000000001</v>
      </c>
      <c r="F21" s="102">
        <f t="shared" si="1"/>
        <v>1316.5880000000002</v>
      </c>
    </row>
    <row r="22" spans="1:9" s="104" customFormat="1" ht="12" x14ac:dyDescent="0.25">
      <c r="A22" s="103">
        <v>42527.612500000003</v>
      </c>
      <c r="B22" s="102">
        <v>3.0529999999999999</v>
      </c>
      <c r="C22" s="102">
        <f t="shared" si="0"/>
        <v>1321.213</v>
      </c>
      <c r="D22" s="103">
        <v>42527.464583333334</v>
      </c>
      <c r="E22" s="102">
        <v>5.601</v>
      </c>
      <c r="F22" s="102">
        <f t="shared" si="1"/>
        <v>1316.559</v>
      </c>
    </row>
    <row r="23" spans="1:9" s="104" customFormat="1" ht="12" x14ac:dyDescent="0.25">
      <c r="A23" s="103">
        <v>42527.652083333334</v>
      </c>
      <c r="B23" s="102">
        <v>3.05</v>
      </c>
      <c r="C23" s="102">
        <f t="shared" si="0"/>
        <v>1321.2160000000001</v>
      </c>
      <c r="D23" s="103">
        <v>42527.493750000001</v>
      </c>
      <c r="E23" s="102">
        <v>5.6130000000000004</v>
      </c>
      <c r="F23" s="102">
        <f t="shared" si="1"/>
        <v>1316.547</v>
      </c>
    </row>
    <row r="24" spans="1:9" s="104" customFormat="1" ht="12" x14ac:dyDescent="0.25">
      <c r="A24" s="103">
        <v>42527.69027777778</v>
      </c>
      <c r="B24" s="102">
        <v>3.05</v>
      </c>
      <c r="C24" s="102">
        <f t="shared" si="0"/>
        <v>1321.2160000000001</v>
      </c>
      <c r="D24" s="103">
        <v>42527.525694444441</v>
      </c>
      <c r="E24" s="102">
        <v>5.63</v>
      </c>
      <c r="F24" s="102">
        <f t="shared" si="1"/>
        <v>1316.53</v>
      </c>
    </row>
    <row r="25" spans="1:9" s="104" customFormat="1" ht="12" x14ac:dyDescent="0.25">
      <c r="A25" s="103">
        <v>42527.704861111109</v>
      </c>
      <c r="B25" s="102">
        <v>3.05</v>
      </c>
      <c r="C25" s="102">
        <f t="shared" si="0"/>
        <v>1321.2160000000001</v>
      </c>
      <c r="D25" s="103">
        <v>42527.568749999999</v>
      </c>
      <c r="E25" s="102">
        <v>5.6470000000000002</v>
      </c>
      <c r="F25" s="102">
        <f t="shared" si="1"/>
        <v>1316.5130000000001</v>
      </c>
    </row>
    <row r="26" spans="1:9" s="104" customFormat="1" ht="12" x14ac:dyDescent="0.25">
      <c r="A26" s="103"/>
      <c r="B26" s="102"/>
      <c r="C26" s="102"/>
      <c r="D26" s="103">
        <v>42527.609722222223</v>
      </c>
      <c r="E26" s="102">
        <v>5.65</v>
      </c>
      <c r="F26" s="102">
        <f t="shared" si="1"/>
        <v>1316.51</v>
      </c>
    </row>
    <row r="27" spans="1:9" s="104" customFormat="1" ht="12" x14ac:dyDescent="0.25">
      <c r="A27" s="106"/>
      <c r="B27" s="102"/>
      <c r="D27" s="103">
        <v>42527.65</v>
      </c>
      <c r="E27" s="102">
        <v>5.66</v>
      </c>
      <c r="F27" s="102">
        <f>E$5-E27</f>
        <v>1316.5</v>
      </c>
    </row>
    <row r="28" spans="1:9" s="104" customFormat="1" ht="12" x14ac:dyDescent="0.25">
      <c r="A28" s="106"/>
      <c r="B28" s="102"/>
      <c r="D28" s="103">
        <v>42527.688194444447</v>
      </c>
      <c r="E28" s="102">
        <v>5.6619999999999999</v>
      </c>
      <c r="F28" s="102">
        <f>E$5-E28</f>
        <v>1316.498</v>
      </c>
    </row>
    <row r="29" spans="1:9" s="104" customFormat="1" ht="12" x14ac:dyDescent="0.25">
      <c r="A29" s="109"/>
      <c r="B29" s="110"/>
      <c r="C29" s="111"/>
      <c r="D29" s="112">
        <v>42527.70208333333</v>
      </c>
      <c r="E29" s="110">
        <v>5.67</v>
      </c>
      <c r="F29" s="110">
        <f>E$5-E29</f>
        <v>1316.49</v>
      </c>
      <c r="G29" s="111"/>
      <c r="H29" s="111"/>
      <c r="I29" s="111"/>
    </row>
    <row r="30" spans="1:9" s="104" customFormat="1" ht="12" x14ac:dyDescent="0.25">
      <c r="A30" s="106"/>
      <c r="B30" s="102"/>
    </row>
    <row r="31" spans="1:9" s="104" customFormat="1" ht="27" customHeight="1" x14ac:dyDescent="0.25">
      <c r="A31" s="107" t="s">
        <v>179</v>
      </c>
      <c r="B31" s="107" t="s">
        <v>189</v>
      </c>
      <c r="C31" s="107"/>
      <c r="D31" s="107" t="s">
        <v>179</v>
      </c>
      <c r="E31" s="107" t="s">
        <v>189</v>
      </c>
      <c r="F31" s="107"/>
      <c r="G31" s="107" t="s">
        <v>179</v>
      </c>
      <c r="H31" s="107" t="s">
        <v>189</v>
      </c>
      <c r="I31" s="107"/>
    </row>
    <row r="32" spans="1:9" s="116" customFormat="1" ht="15" customHeight="1" x14ac:dyDescent="0.3">
      <c r="A32" s="113" t="s">
        <v>138</v>
      </c>
      <c r="B32" s="113">
        <v>1298.347</v>
      </c>
      <c r="C32" s="113"/>
      <c r="D32" s="113" t="s">
        <v>162</v>
      </c>
      <c r="E32" s="113">
        <v>1311.8529999999998</v>
      </c>
      <c r="F32" s="113"/>
      <c r="G32" s="113" t="s">
        <v>142</v>
      </c>
      <c r="H32" s="113">
        <v>1311.634</v>
      </c>
      <c r="I32" s="113"/>
    </row>
    <row r="33" spans="1:27" s="104" customFormat="1" ht="27" customHeight="1" x14ac:dyDescent="0.25">
      <c r="A33" s="107" t="s">
        <v>188</v>
      </c>
      <c r="B33" s="107" t="s">
        <v>296</v>
      </c>
      <c r="C33" s="107" t="s">
        <v>191</v>
      </c>
      <c r="D33" s="107" t="s">
        <v>188</v>
      </c>
      <c r="E33" s="107" t="s">
        <v>296</v>
      </c>
      <c r="F33" s="107" t="s">
        <v>191</v>
      </c>
      <c r="G33" s="107" t="s">
        <v>188</v>
      </c>
      <c r="H33" s="107" t="s">
        <v>296</v>
      </c>
      <c r="I33" s="107" t="s">
        <v>191</v>
      </c>
      <c r="W33" s="103"/>
      <c r="X33" s="102"/>
      <c r="Y33" s="101"/>
      <c r="AA33" s="106"/>
    </row>
    <row r="34" spans="1:27" s="104" customFormat="1" ht="12" x14ac:dyDescent="0.25">
      <c r="A34" s="103">
        <v>42522.357638888891</v>
      </c>
      <c r="B34" s="104">
        <v>12.08</v>
      </c>
      <c r="C34" s="102">
        <f t="shared" ref="C34:C40" si="2">B$32-B34</f>
        <v>1286.2670000000001</v>
      </c>
      <c r="D34" s="103">
        <v>42522.390277777777</v>
      </c>
      <c r="E34" s="102">
        <v>1.899</v>
      </c>
      <c r="F34" s="102">
        <f t="shared" ref="F34:F48" si="3">E$32-E34</f>
        <v>1309.954</v>
      </c>
      <c r="G34" s="101">
        <v>42523.424305555556</v>
      </c>
      <c r="H34" s="102">
        <v>1.2749999999999999</v>
      </c>
      <c r="I34" s="102">
        <f t="shared" ref="I34:I62" si="4">H$32-H34</f>
        <v>1310.3589999999999</v>
      </c>
      <c r="W34" s="103"/>
      <c r="X34" s="102"/>
    </row>
    <row r="35" spans="1:27" s="104" customFormat="1" ht="12" x14ac:dyDescent="0.25">
      <c r="A35" s="103">
        <v>42523.402777777781</v>
      </c>
      <c r="B35" s="104">
        <v>12.194000000000001</v>
      </c>
      <c r="C35" s="102">
        <f t="shared" si="2"/>
        <v>1286.153</v>
      </c>
      <c r="D35" s="103">
        <v>42522.472916666666</v>
      </c>
      <c r="E35" s="104">
        <v>1.8959999999999999</v>
      </c>
      <c r="F35" s="102">
        <f t="shared" si="3"/>
        <v>1309.9569999999999</v>
      </c>
      <c r="G35" s="103">
        <v>42525.354166666664</v>
      </c>
      <c r="H35" s="104">
        <v>1.3</v>
      </c>
      <c r="I35" s="102">
        <f t="shared" si="4"/>
        <v>1310.3340000000001</v>
      </c>
      <c r="W35" s="103"/>
      <c r="X35" s="102"/>
    </row>
    <row r="36" spans="1:27" s="104" customFormat="1" ht="12" x14ac:dyDescent="0.25">
      <c r="A36" s="103">
        <v>42524.401388888888</v>
      </c>
      <c r="B36" s="104">
        <v>12.27</v>
      </c>
      <c r="C36" s="102">
        <f t="shared" si="2"/>
        <v>1286.077</v>
      </c>
      <c r="D36" s="103">
        <v>42522.513194444444</v>
      </c>
      <c r="E36" s="104">
        <v>1.8959999999999999</v>
      </c>
      <c r="F36" s="102">
        <f t="shared" si="3"/>
        <v>1309.9569999999999</v>
      </c>
      <c r="G36" s="103">
        <v>42526.361111111109</v>
      </c>
      <c r="H36" s="104">
        <v>1.2969999999999999</v>
      </c>
      <c r="I36" s="102">
        <f t="shared" si="4"/>
        <v>1310.337</v>
      </c>
      <c r="W36" s="103"/>
      <c r="X36" s="102"/>
    </row>
    <row r="37" spans="1:27" s="104" customFormat="1" ht="12" x14ac:dyDescent="0.25">
      <c r="A37" s="103">
        <v>42528.496527777781</v>
      </c>
      <c r="B37" s="104">
        <v>13.358000000000001</v>
      </c>
      <c r="C37" s="102">
        <f t="shared" si="2"/>
        <v>1284.989</v>
      </c>
      <c r="D37" s="103">
        <v>42526.379166666666</v>
      </c>
      <c r="E37" s="102">
        <v>1.903</v>
      </c>
      <c r="F37" s="102">
        <f t="shared" si="3"/>
        <v>1309.9499999999998</v>
      </c>
      <c r="G37" s="103">
        <v>42527.347222222219</v>
      </c>
      <c r="H37" s="102">
        <v>1.31</v>
      </c>
      <c r="I37" s="102">
        <f t="shared" si="4"/>
        <v>1310.3240000000001</v>
      </c>
      <c r="W37" s="103"/>
      <c r="X37" s="102"/>
    </row>
    <row r="38" spans="1:27" s="104" customFormat="1" ht="12" x14ac:dyDescent="0.25">
      <c r="A38" s="103">
        <v>42524.401388888888</v>
      </c>
      <c r="B38" s="104">
        <v>12.27</v>
      </c>
      <c r="C38" s="102">
        <f t="shared" si="2"/>
        <v>1286.077</v>
      </c>
      <c r="D38" s="103">
        <v>42528.402777777781</v>
      </c>
      <c r="E38" s="102">
        <v>1.9</v>
      </c>
      <c r="F38" s="102">
        <f t="shared" si="3"/>
        <v>1309.9529999999997</v>
      </c>
      <c r="G38" s="103">
        <v>42528.401388888888</v>
      </c>
      <c r="H38" s="102">
        <v>1.2090000000000001</v>
      </c>
      <c r="I38" s="102">
        <f t="shared" si="4"/>
        <v>1310.425</v>
      </c>
      <c r="W38" s="103"/>
      <c r="X38" s="102"/>
    </row>
    <row r="39" spans="1:27" s="104" customFormat="1" ht="12" x14ac:dyDescent="0.25">
      <c r="A39" s="103">
        <v>42524.421527777777</v>
      </c>
      <c r="B39" s="104">
        <v>12.1</v>
      </c>
      <c r="C39" s="102">
        <f t="shared" si="2"/>
        <v>1286.2470000000001</v>
      </c>
      <c r="D39" s="103">
        <v>42523.4375</v>
      </c>
      <c r="E39" s="102">
        <v>1.8979999999999999</v>
      </c>
      <c r="F39" s="102">
        <f t="shared" si="3"/>
        <v>1309.9549999999999</v>
      </c>
      <c r="G39" s="103">
        <v>42521.591666666667</v>
      </c>
      <c r="H39" s="102">
        <v>1.266</v>
      </c>
      <c r="I39" s="102">
        <f t="shared" si="4"/>
        <v>1310.3679999999999</v>
      </c>
      <c r="W39" s="103"/>
      <c r="X39" s="102"/>
    </row>
    <row r="40" spans="1:27" s="104" customFormat="1" ht="12" x14ac:dyDescent="0.25">
      <c r="A40" s="103">
        <v>42524.44027777778</v>
      </c>
      <c r="B40" s="104">
        <v>13.465</v>
      </c>
      <c r="C40" s="102">
        <f t="shared" si="2"/>
        <v>1284.8820000000001</v>
      </c>
      <c r="D40" s="103">
        <v>42526.397222222222</v>
      </c>
      <c r="E40" s="102">
        <v>1.9</v>
      </c>
      <c r="F40" s="102">
        <f t="shared" si="3"/>
        <v>1309.9529999999997</v>
      </c>
      <c r="G40" s="103">
        <v>42522.455555555556</v>
      </c>
      <c r="H40" s="102">
        <v>1.2549999999999999</v>
      </c>
      <c r="I40" s="102">
        <f t="shared" si="4"/>
        <v>1310.3789999999999</v>
      </c>
      <c r="W40" s="103"/>
      <c r="X40" s="102"/>
    </row>
    <row r="41" spans="1:27" s="104" customFormat="1" ht="12" x14ac:dyDescent="0.25">
      <c r="D41" s="103">
        <v>42526.425000000003</v>
      </c>
      <c r="E41" s="102">
        <v>1.905</v>
      </c>
      <c r="F41" s="102">
        <f t="shared" si="3"/>
        <v>1309.9479999999999</v>
      </c>
      <c r="G41" s="103">
        <v>42522.470833333333</v>
      </c>
      <c r="H41" s="102">
        <v>1.825</v>
      </c>
      <c r="I41" s="102">
        <f t="shared" si="4"/>
        <v>1309.809</v>
      </c>
      <c r="W41" s="103"/>
      <c r="X41" s="102"/>
    </row>
    <row r="42" spans="1:27" s="104" customFormat="1" ht="12" x14ac:dyDescent="0.25">
      <c r="D42" s="103">
        <v>42526.45416666667</v>
      </c>
      <c r="E42" s="102">
        <v>1.905</v>
      </c>
      <c r="F42" s="102">
        <f t="shared" si="3"/>
        <v>1309.9479999999999</v>
      </c>
      <c r="G42" s="103">
        <v>42522.48333333333</v>
      </c>
      <c r="H42" s="102">
        <v>1.9079999999999999</v>
      </c>
      <c r="I42" s="102">
        <f t="shared" si="4"/>
        <v>1309.7260000000001</v>
      </c>
      <c r="W42" s="103"/>
      <c r="X42" s="102"/>
    </row>
    <row r="43" spans="1:27" s="104" customFormat="1" ht="12" x14ac:dyDescent="0.25">
      <c r="D43" s="103">
        <v>42526.502083333333</v>
      </c>
      <c r="E43" s="102">
        <v>1.905</v>
      </c>
      <c r="F43" s="102">
        <f t="shared" si="3"/>
        <v>1309.9479999999999</v>
      </c>
      <c r="G43" s="103">
        <v>42522.491666666669</v>
      </c>
      <c r="H43" s="102">
        <v>2.0350000000000001</v>
      </c>
      <c r="I43" s="102">
        <f t="shared" si="4"/>
        <v>1309.5989999999999</v>
      </c>
      <c r="W43" s="103"/>
      <c r="X43" s="102"/>
    </row>
    <row r="44" spans="1:27" s="104" customFormat="1" ht="12" x14ac:dyDescent="0.25">
      <c r="D44" s="103">
        <v>42526.536111111112</v>
      </c>
      <c r="E44" s="102">
        <v>1.91</v>
      </c>
      <c r="F44" s="102">
        <f t="shared" si="3"/>
        <v>1309.9429999999998</v>
      </c>
      <c r="G44" s="103">
        <v>42522.510416666664</v>
      </c>
      <c r="H44" s="102">
        <v>2.4460000000000002</v>
      </c>
      <c r="I44" s="102">
        <f t="shared" si="4"/>
        <v>1309.1880000000001</v>
      </c>
      <c r="W44" s="103"/>
      <c r="X44" s="102"/>
    </row>
    <row r="45" spans="1:27" s="98" customFormat="1" ht="12" x14ac:dyDescent="0.25">
      <c r="A45" s="104"/>
      <c r="B45" s="104"/>
      <c r="C45" s="104"/>
      <c r="D45" s="103">
        <v>42526.611111111109</v>
      </c>
      <c r="E45" s="102">
        <v>1.91</v>
      </c>
      <c r="F45" s="102">
        <f t="shared" si="3"/>
        <v>1309.9429999999998</v>
      </c>
      <c r="G45" s="103">
        <v>42522.526388888888</v>
      </c>
      <c r="H45" s="102">
        <v>2.5659999999999998</v>
      </c>
      <c r="I45" s="102">
        <f t="shared" si="4"/>
        <v>1309.068</v>
      </c>
      <c r="W45" s="99"/>
      <c r="X45" s="100"/>
    </row>
    <row r="46" spans="1:27" s="98" customFormat="1" ht="12" x14ac:dyDescent="0.25">
      <c r="A46" s="104"/>
      <c r="B46" s="104"/>
      <c r="C46" s="104"/>
      <c r="D46" s="103">
        <v>42526.635416666664</v>
      </c>
      <c r="E46" s="102">
        <v>1.9119999999999999</v>
      </c>
      <c r="F46" s="102">
        <f t="shared" si="3"/>
        <v>1309.9409999999998</v>
      </c>
      <c r="G46" s="103">
        <v>42523.427083333336</v>
      </c>
      <c r="H46" s="102">
        <v>1.2749999999999999</v>
      </c>
      <c r="I46" s="102">
        <f t="shared" si="4"/>
        <v>1310.3589999999999</v>
      </c>
      <c r="W46" s="99"/>
      <c r="X46" s="100"/>
    </row>
    <row r="47" spans="1:27" s="98" customFormat="1" ht="12" x14ac:dyDescent="0.25">
      <c r="A47" s="104"/>
      <c r="B47" s="104"/>
      <c r="C47" s="104"/>
      <c r="D47" s="103">
        <v>42526.669444444444</v>
      </c>
      <c r="E47" s="102">
        <v>1.9139999999999999</v>
      </c>
      <c r="F47" s="102">
        <f t="shared" si="3"/>
        <v>1309.9389999999999</v>
      </c>
      <c r="G47" s="103">
        <v>42523.434027777781</v>
      </c>
      <c r="H47" s="102">
        <v>2.4049999999999998</v>
      </c>
      <c r="I47" s="102">
        <f t="shared" si="4"/>
        <v>1309.229</v>
      </c>
      <c r="W47" s="99"/>
      <c r="X47" s="100"/>
    </row>
    <row r="48" spans="1:27" s="98" customFormat="1" ht="12" x14ac:dyDescent="0.25">
      <c r="A48" s="104"/>
      <c r="B48" s="104"/>
      <c r="C48" s="104"/>
      <c r="D48" s="103">
        <v>42526.70416666667</v>
      </c>
      <c r="E48" s="102">
        <v>1.913</v>
      </c>
      <c r="F48" s="102">
        <f t="shared" si="3"/>
        <v>1309.9399999999998</v>
      </c>
      <c r="G48" s="103">
        <v>42523.526388888888</v>
      </c>
      <c r="H48" s="102">
        <v>1.3169999999999999</v>
      </c>
      <c r="I48" s="102">
        <f t="shared" si="4"/>
        <v>1310.317</v>
      </c>
      <c r="W48" s="99"/>
      <c r="X48" s="100"/>
    </row>
    <row r="49" spans="1:24" s="98" customFormat="1" ht="12" x14ac:dyDescent="0.25">
      <c r="A49" s="104"/>
      <c r="B49" s="104"/>
      <c r="C49" s="104"/>
      <c r="D49" s="104"/>
      <c r="E49" s="104"/>
      <c r="F49" s="106"/>
      <c r="G49" s="103">
        <v>42526.387499999997</v>
      </c>
      <c r="H49" s="102">
        <v>1.294</v>
      </c>
      <c r="I49" s="102">
        <f t="shared" si="4"/>
        <v>1310.3399999999999</v>
      </c>
      <c r="W49" s="99"/>
      <c r="X49" s="100"/>
    </row>
    <row r="50" spans="1:24" s="98" customFormat="1" ht="12" x14ac:dyDescent="0.25">
      <c r="A50" s="104"/>
      <c r="B50" s="104"/>
      <c r="C50" s="104"/>
      <c r="D50" s="104"/>
      <c r="E50" s="104"/>
      <c r="F50" s="106"/>
      <c r="G50" s="103">
        <v>42526.393055555556</v>
      </c>
      <c r="H50" s="102">
        <v>2.395</v>
      </c>
      <c r="I50" s="102">
        <f t="shared" si="4"/>
        <v>1309.239</v>
      </c>
      <c r="W50" s="99"/>
      <c r="X50" s="100"/>
    </row>
    <row r="51" spans="1:24" s="98" customFormat="1" ht="12" x14ac:dyDescent="0.25">
      <c r="A51" s="104"/>
      <c r="B51" s="104"/>
      <c r="C51" s="104"/>
      <c r="D51" s="104"/>
      <c r="E51" s="104"/>
      <c r="F51" s="106"/>
      <c r="G51" s="103">
        <v>42526.418749999997</v>
      </c>
      <c r="H51" s="102">
        <v>2.75</v>
      </c>
      <c r="I51" s="102">
        <f t="shared" si="4"/>
        <v>1308.884</v>
      </c>
      <c r="W51" s="99"/>
      <c r="X51" s="100"/>
    </row>
    <row r="52" spans="1:24" s="98" customFormat="1" ht="12" x14ac:dyDescent="0.25">
      <c r="A52" s="104"/>
      <c r="B52" s="104"/>
      <c r="C52" s="104"/>
      <c r="D52" s="104"/>
      <c r="E52" s="104"/>
      <c r="F52" s="106"/>
      <c r="G52" s="103">
        <v>42526.45</v>
      </c>
      <c r="H52" s="102">
        <v>2.87</v>
      </c>
      <c r="I52" s="102">
        <f t="shared" si="4"/>
        <v>1308.7640000000001</v>
      </c>
      <c r="W52" s="99"/>
      <c r="X52" s="100"/>
    </row>
    <row r="53" spans="1:24" s="98" customFormat="1" ht="12" x14ac:dyDescent="0.25">
      <c r="A53" s="104"/>
      <c r="B53" s="104"/>
      <c r="C53" s="104"/>
      <c r="D53" s="104"/>
      <c r="E53" s="104"/>
      <c r="F53" s="106"/>
      <c r="G53" s="103">
        <v>42526.477777777778</v>
      </c>
      <c r="H53" s="102">
        <v>2.92</v>
      </c>
      <c r="I53" s="102">
        <f t="shared" si="4"/>
        <v>1308.7139999999999</v>
      </c>
      <c r="W53" s="99"/>
      <c r="X53" s="100"/>
    </row>
    <row r="54" spans="1:24" s="98" customFormat="1" ht="12" x14ac:dyDescent="0.25">
      <c r="A54" s="104"/>
      <c r="B54" s="104"/>
      <c r="C54" s="104"/>
      <c r="D54" s="104"/>
      <c r="E54" s="104"/>
      <c r="F54" s="106"/>
      <c r="G54" s="103">
        <v>42526.498611111114</v>
      </c>
      <c r="H54" s="102">
        <v>2.948</v>
      </c>
      <c r="I54" s="102">
        <f t="shared" si="4"/>
        <v>1308.6859999999999</v>
      </c>
      <c r="W54" s="99"/>
      <c r="X54" s="100"/>
    </row>
    <row r="55" spans="1:24" s="98" customFormat="1" ht="12" x14ac:dyDescent="0.25">
      <c r="A55" s="104"/>
      <c r="B55" s="104"/>
      <c r="C55" s="104"/>
      <c r="D55" s="104"/>
      <c r="E55" s="104"/>
      <c r="F55" s="106"/>
      <c r="G55" s="103">
        <v>42526.532638888886</v>
      </c>
      <c r="H55" s="102">
        <v>2.99</v>
      </c>
      <c r="I55" s="102">
        <f t="shared" si="4"/>
        <v>1308.644</v>
      </c>
      <c r="W55" s="99"/>
      <c r="X55" s="100"/>
    </row>
    <row r="56" spans="1:24" s="98" customFormat="1" ht="12" x14ac:dyDescent="0.25">
      <c r="A56" s="104"/>
      <c r="B56" s="104"/>
      <c r="C56" s="104"/>
      <c r="D56" s="104"/>
      <c r="E56" s="104"/>
      <c r="F56" s="106"/>
      <c r="G56" s="103">
        <v>42526.55972222222</v>
      </c>
      <c r="H56" s="102">
        <v>3.0150000000000001</v>
      </c>
      <c r="I56" s="102">
        <f t="shared" si="4"/>
        <v>1308.6189999999999</v>
      </c>
      <c r="W56" s="99"/>
      <c r="X56" s="100"/>
    </row>
    <row r="57" spans="1:24" s="98" customFormat="1" ht="12" x14ac:dyDescent="0.25">
      <c r="A57" s="104"/>
      <c r="B57" s="104"/>
      <c r="C57" s="104"/>
      <c r="D57" s="104"/>
      <c r="E57" s="104"/>
      <c r="F57" s="106"/>
      <c r="G57" s="103">
        <v>42526.588194444441</v>
      </c>
      <c r="H57" s="102">
        <v>3.0489999999999999</v>
      </c>
      <c r="I57" s="102">
        <f t="shared" si="4"/>
        <v>1308.585</v>
      </c>
      <c r="W57" s="99"/>
      <c r="X57" s="100"/>
    </row>
    <row r="58" spans="1:24" s="98" customFormat="1" ht="12" x14ac:dyDescent="0.25">
      <c r="A58" s="104"/>
      <c r="B58" s="104"/>
      <c r="C58" s="104"/>
      <c r="D58" s="104"/>
      <c r="E58" s="104"/>
      <c r="F58" s="106"/>
      <c r="G58" s="103">
        <v>42526.631249999999</v>
      </c>
      <c r="H58" s="102">
        <v>3.0750000000000002</v>
      </c>
      <c r="I58" s="102">
        <f t="shared" si="4"/>
        <v>1308.559</v>
      </c>
      <c r="W58" s="99"/>
      <c r="X58" s="100"/>
    </row>
    <row r="59" spans="1:24" s="98" customFormat="1" ht="12" x14ac:dyDescent="0.25">
      <c r="A59" s="104"/>
      <c r="B59" s="104"/>
      <c r="C59" s="104"/>
      <c r="D59" s="104"/>
      <c r="E59" s="104"/>
      <c r="F59" s="106"/>
      <c r="G59" s="103">
        <v>42526.667361111111</v>
      </c>
      <c r="H59" s="102">
        <v>3.0920000000000001</v>
      </c>
      <c r="I59" s="102">
        <f t="shared" si="4"/>
        <v>1308.5419999999999</v>
      </c>
      <c r="W59" s="99"/>
      <c r="X59" s="100"/>
    </row>
    <row r="60" spans="1:24" s="98" customFormat="1" ht="12" x14ac:dyDescent="0.25">
      <c r="A60" s="104"/>
      <c r="B60" s="104"/>
      <c r="C60" s="104"/>
      <c r="D60" s="104"/>
      <c r="E60" s="104"/>
      <c r="F60" s="106"/>
      <c r="G60" s="103">
        <v>42526.7</v>
      </c>
      <c r="H60" s="102">
        <v>3.1139999999999999</v>
      </c>
      <c r="I60" s="102">
        <f t="shared" si="4"/>
        <v>1308.52</v>
      </c>
      <c r="W60" s="99"/>
      <c r="X60" s="100"/>
    </row>
    <row r="61" spans="1:24" s="98" customFormat="1" ht="12" x14ac:dyDescent="0.25">
      <c r="A61" s="104"/>
      <c r="B61" s="104"/>
      <c r="C61" s="104"/>
      <c r="D61" s="104"/>
      <c r="E61" s="104"/>
      <c r="F61" s="106"/>
      <c r="G61" s="103">
        <v>42526.72152777778</v>
      </c>
      <c r="H61" s="102">
        <v>3.12</v>
      </c>
      <c r="I61" s="102">
        <f t="shared" si="4"/>
        <v>1308.5140000000001</v>
      </c>
      <c r="W61" s="99"/>
      <c r="X61" s="100"/>
    </row>
    <row r="62" spans="1:24" s="98" customFormat="1" ht="12" x14ac:dyDescent="0.25">
      <c r="A62" s="111"/>
      <c r="B62" s="111"/>
      <c r="C62" s="111"/>
      <c r="D62" s="111"/>
      <c r="E62" s="111"/>
      <c r="F62" s="111"/>
      <c r="G62" s="112">
        <v>42522.384027777778</v>
      </c>
      <c r="H62" s="110">
        <v>1.26</v>
      </c>
      <c r="I62" s="110">
        <f t="shared" si="4"/>
        <v>1310.374</v>
      </c>
      <c r="W62" s="99"/>
      <c r="X62" s="100"/>
    </row>
    <row r="63" spans="1:24" s="98" customFormat="1" ht="12" x14ac:dyDescent="0.25">
      <c r="B63" s="100"/>
      <c r="W63" s="99"/>
      <c r="X63" s="100"/>
    </row>
    <row r="64" spans="1:24" s="98" customFormat="1" ht="27" customHeight="1" x14ac:dyDescent="0.25">
      <c r="A64" s="107" t="s">
        <v>179</v>
      </c>
      <c r="B64" s="107" t="s">
        <v>189</v>
      </c>
      <c r="C64" s="107"/>
      <c r="D64" s="107" t="s">
        <v>179</v>
      </c>
      <c r="E64" s="107" t="s">
        <v>189</v>
      </c>
      <c r="F64" s="107"/>
      <c r="G64" s="107" t="s">
        <v>179</v>
      </c>
      <c r="H64" s="107" t="s">
        <v>189</v>
      </c>
      <c r="I64" s="107"/>
      <c r="W64" s="99"/>
      <c r="X64" s="100"/>
    </row>
    <row r="65" spans="1:24" s="117" customFormat="1" ht="15" customHeight="1" x14ac:dyDescent="0.3">
      <c r="A65" s="113" t="s">
        <v>127</v>
      </c>
      <c r="B65" s="113">
        <v>1314.9779999999998</v>
      </c>
      <c r="C65" s="113"/>
      <c r="D65" s="113" t="s">
        <v>136</v>
      </c>
      <c r="E65" s="113">
        <v>1294.0650000000001</v>
      </c>
      <c r="F65" s="113"/>
      <c r="G65" s="113" t="s">
        <v>167</v>
      </c>
      <c r="H65" s="113">
        <v>1312.829</v>
      </c>
      <c r="I65" s="113"/>
      <c r="W65" s="118"/>
      <c r="X65" s="115"/>
    </row>
    <row r="66" spans="1:24" s="98" customFormat="1" ht="27" customHeight="1" x14ac:dyDescent="0.25">
      <c r="A66" s="107" t="s">
        <v>188</v>
      </c>
      <c r="B66" s="107" t="s">
        <v>296</v>
      </c>
      <c r="C66" s="107" t="s">
        <v>191</v>
      </c>
      <c r="D66" s="107" t="s">
        <v>188</v>
      </c>
      <c r="E66" s="107" t="s">
        <v>296</v>
      </c>
      <c r="F66" s="107" t="s">
        <v>191</v>
      </c>
      <c r="G66" s="107" t="s">
        <v>188</v>
      </c>
      <c r="H66" s="107" t="s">
        <v>296</v>
      </c>
      <c r="I66" s="107" t="s">
        <v>191</v>
      </c>
      <c r="L66" s="98">
        <v>0.7</v>
      </c>
      <c r="W66" s="99"/>
      <c r="X66" s="100"/>
    </row>
    <row r="67" spans="1:24" s="98" customFormat="1" ht="12" x14ac:dyDescent="0.25">
      <c r="A67" s="103">
        <v>42522.445833333331</v>
      </c>
      <c r="B67" s="102">
        <v>3.9849999999999999</v>
      </c>
      <c r="C67" s="102">
        <f t="shared" ref="C67:C92" si="5">B$65-B67</f>
        <v>1310.9929999999999</v>
      </c>
      <c r="D67" s="103">
        <v>42522.357638888891</v>
      </c>
      <c r="E67" s="102">
        <v>4.8819999999999997</v>
      </c>
      <c r="F67" s="102">
        <f t="shared" ref="F67:F90" si="6">E$65-E67</f>
        <v>1289.183</v>
      </c>
      <c r="G67" s="101">
        <v>42522.47152777778</v>
      </c>
      <c r="H67" s="102">
        <v>1.645</v>
      </c>
      <c r="I67" s="102">
        <f>H$65-H67</f>
        <v>1311.184</v>
      </c>
      <c r="L67" s="98">
        <f t="shared" ref="L67:L92" si="7">B67-L$66</f>
        <v>3.2850000000000001</v>
      </c>
      <c r="W67" s="99"/>
      <c r="X67" s="100"/>
    </row>
    <row r="68" spans="1:24" s="98" customFormat="1" ht="12" x14ac:dyDescent="0.25">
      <c r="A68" s="103">
        <v>42523.590277777781</v>
      </c>
      <c r="B68" s="102">
        <v>4.1050000000000004</v>
      </c>
      <c r="C68" s="102">
        <f t="shared" si="5"/>
        <v>1310.8729999999998</v>
      </c>
      <c r="D68" s="103">
        <v>42522.603472222225</v>
      </c>
      <c r="E68" s="104">
        <v>12.648999999999999</v>
      </c>
      <c r="F68" s="102">
        <f t="shared" si="6"/>
        <v>1281.4160000000002</v>
      </c>
      <c r="G68" s="103">
        <v>42522.511805555558</v>
      </c>
      <c r="H68" s="104">
        <v>1.702</v>
      </c>
      <c r="I68" s="102">
        <f>H$65-H68</f>
        <v>1311.127</v>
      </c>
      <c r="L68" s="98">
        <f t="shared" si="7"/>
        <v>3.4050000000000002</v>
      </c>
      <c r="W68" s="99"/>
      <c r="X68" s="100"/>
    </row>
    <row r="69" spans="1:24" s="98" customFormat="1" ht="12" x14ac:dyDescent="0.25">
      <c r="A69" s="103">
        <v>42523.609027777777</v>
      </c>
      <c r="B69" s="102">
        <v>4.0949999999999998</v>
      </c>
      <c r="C69" s="102">
        <f t="shared" si="5"/>
        <v>1310.8829999999998</v>
      </c>
      <c r="D69" s="103">
        <v>42522.60833333333</v>
      </c>
      <c r="E69" s="104">
        <v>12.131</v>
      </c>
      <c r="F69" s="102">
        <f t="shared" si="6"/>
        <v>1281.934</v>
      </c>
      <c r="G69" s="103">
        <v>42528.552083333336</v>
      </c>
      <c r="H69" s="104">
        <v>1.365</v>
      </c>
      <c r="I69" s="102">
        <f>H$65-H69</f>
        <v>1311.4639999999999</v>
      </c>
      <c r="L69" s="98">
        <f t="shared" si="7"/>
        <v>3.3949999999999996</v>
      </c>
      <c r="W69" s="99"/>
      <c r="X69" s="100"/>
    </row>
    <row r="70" spans="1:24" s="98" customFormat="1" ht="12" x14ac:dyDescent="0.25">
      <c r="A70" s="103">
        <v>42523.613888888889</v>
      </c>
      <c r="B70" s="102">
        <v>4.09</v>
      </c>
      <c r="C70" s="102">
        <f t="shared" si="5"/>
        <v>1310.8879999999999</v>
      </c>
      <c r="D70" s="103">
        <v>42523.381249999999</v>
      </c>
      <c r="E70" s="102">
        <v>4.8150000000000004</v>
      </c>
      <c r="F70" s="102">
        <f t="shared" si="6"/>
        <v>1289.25</v>
      </c>
      <c r="G70" s="103">
        <v>42521.681250000001</v>
      </c>
      <c r="H70" s="102">
        <v>1.645</v>
      </c>
      <c r="I70" s="102">
        <f>H$65-H70</f>
        <v>1311.184</v>
      </c>
      <c r="L70" s="98">
        <f t="shared" si="7"/>
        <v>3.3899999999999997</v>
      </c>
      <c r="W70" s="99"/>
      <c r="X70" s="100"/>
    </row>
    <row r="71" spans="1:24" s="98" customFormat="1" ht="12" x14ac:dyDescent="0.25">
      <c r="A71" s="103">
        <v>42523.634027777778</v>
      </c>
      <c r="B71" s="102">
        <v>4.08</v>
      </c>
      <c r="C71" s="102">
        <f t="shared" si="5"/>
        <v>1310.8979999999999</v>
      </c>
      <c r="D71" s="103">
        <v>42523.699305555558</v>
      </c>
      <c r="E71" s="102">
        <v>4.8150000000000004</v>
      </c>
      <c r="F71" s="102">
        <f t="shared" si="6"/>
        <v>1289.25</v>
      </c>
      <c r="G71" s="103">
        <v>42523.4375</v>
      </c>
      <c r="H71" s="102">
        <v>1.655</v>
      </c>
      <c r="I71" s="102">
        <f>H$65-H71</f>
        <v>1311.174</v>
      </c>
      <c r="L71" s="98">
        <f t="shared" si="7"/>
        <v>3.38</v>
      </c>
      <c r="W71" s="99"/>
      <c r="X71" s="100"/>
    </row>
    <row r="72" spans="1:24" s="98" customFormat="1" ht="12" x14ac:dyDescent="0.25">
      <c r="A72" s="103">
        <v>42523.646527777775</v>
      </c>
      <c r="B72" s="102">
        <v>4.0750000000000002</v>
      </c>
      <c r="C72" s="102">
        <f t="shared" si="5"/>
        <v>1310.9029999999998</v>
      </c>
      <c r="D72" s="103">
        <v>42524.422222222223</v>
      </c>
      <c r="E72" s="102">
        <v>4.8079999999999998</v>
      </c>
      <c r="F72" s="102">
        <f t="shared" si="6"/>
        <v>1289.2570000000001</v>
      </c>
      <c r="G72" s="104"/>
      <c r="H72" s="104"/>
      <c r="I72" s="102"/>
      <c r="L72" s="98">
        <f t="shared" si="7"/>
        <v>3.375</v>
      </c>
      <c r="W72" s="99"/>
      <c r="X72" s="100"/>
    </row>
    <row r="73" spans="1:24" s="98" customFormat="1" ht="12" x14ac:dyDescent="0.25">
      <c r="A73" s="103">
        <v>42523.660416666666</v>
      </c>
      <c r="B73" s="102">
        <v>4.0750000000000002</v>
      </c>
      <c r="C73" s="102">
        <f t="shared" si="5"/>
        <v>1310.9029999999998</v>
      </c>
      <c r="D73" s="103">
        <v>42528.433333333334</v>
      </c>
      <c r="E73" s="102">
        <v>4.7889999999999997</v>
      </c>
      <c r="F73" s="102">
        <f t="shared" si="6"/>
        <v>1289.2760000000001</v>
      </c>
      <c r="G73" s="104"/>
      <c r="H73" s="104"/>
      <c r="I73" s="104"/>
      <c r="L73" s="98">
        <f t="shared" si="7"/>
        <v>3.375</v>
      </c>
      <c r="W73" s="99"/>
      <c r="X73" s="100"/>
    </row>
    <row r="74" spans="1:24" s="98" customFormat="1" ht="12" x14ac:dyDescent="0.25">
      <c r="A74" s="103">
        <v>42523.6875</v>
      </c>
      <c r="B74" s="102">
        <v>4.069</v>
      </c>
      <c r="C74" s="102">
        <f t="shared" si="5"/>
        <v>1310.9089999999999</v>
      </c>
      <c r="D74" s="103">
        <v>42528.515277777777</v>
      </c>
      <c r="E74" s="102">
        <v>5.516</v>
      </c>
      <c r="F74" s="102">
        <f t="shared" si="6"/>
        <v>1288.549</v>
      </c>
      <c r="G74" s="104"/>
      <c r="H74" s="104"/>
      <c r="I74" s="104"/>
      <c r="L74" s="98">
        <f t="shared" si="7"/>
        <v>3.3689999999999998</v>
      </c>
      <c r="W74" s="99"/>
      <c r="X74" s="100"/>
    </row>
    <row r="75" spans="1:24" s="98" customFormat="1" ht="12" x14ac:dyDescent="0.25">
      <c r="A75" s="103">
        <v>42525.394444444442</v>
      </c>
      <c r="B75" s="102">
        <v>4.0599999999999996</v>
      </c>
      <c r="C75" s="102">
        <f t="shared" si="5"/>
        <v>1310.9179999999999</v>
      </c>
      <c r="D75" s="103">
        <v>42521.696527777778</v>
      </c>
      <c r="E75" s="102">
        <v>4.92</v>
      </c>
      <c r="F75" s="102">
        <f t="shared" si="6"/>
        <v>1289.145</v>
      </c>
      <c r="G75" s="104"/>
      <c r="H75" s="104"/>
      <c r="I75" s="104"/>
      <c r="L75" s="98">
        <f t="shared" si="7"/>
        <v>3.3599999999999994</v>
      </c>
      <c r="W75" s="99"/>
      <c r="X75" s="100"/>
    </row>
    <row r="76" spans="1:24" s="98" customFormat="1" ht="12" x14ac:dyDescent="0.25">
      <c r="A76" s="103">
        <v>42527.356249999997</v>
      </c>
      <c r="B76" s="102">
        <v>4.0519999999999996</v>
      </c>
      <c r="C76" s="102">
        <f t="shared" si="5"/>
        <v>1310.9259999999999</v>
      </c>
      <c r="D76" s="103">
        <v>42522.561111111114</v>
      </c>
      <c r="E76" s="102">
        <v>4.7130000000000001</v>
      </c>
      <c r="F76" s="102">
        <f t="shared" si="6"/>
        <v>1289.3520000000001</v>
      </c>
      <c r="G76" s="104"/>
      <c r="H76" s="104"/>
      <c r="I76" s="104"/>
      <c r="L76" s="98">
        <f t="shared" si="7"/>
        <v>3.3519999999999994</v>
      </c>
      <c r="W76" s="99"/>
      <c r="X76" s="100"/>
    </row>
    <row r="77" spans="1:24" s="98" customFormat="1" ht="12" x14ac:dyDescent="0.25">
      <c r="A77" s="103">
        <v>42527.359027777777</v>
      </c>
      <c r="B77" s="102">
        <v>4.0419999999999998</v>
      </c>
      <c r="C77" s="102">
        <f t="shared" si="5"/>
        <v>1310.9359999999999</v>
      </c>
      <c r="D77" s="103">
        <v>42522.564583333333</v>
      </c>
      <c r="E77" s="102">
        <v>4.7329999999999997</v>
      </c>
      <c r="F77" s="102">
        <f t="shared" si="6"/>
        <v>1289.3320000000001</v>
      </c>
      <c r="G77" s="104"/>
      <c r="H77" s="104"/>
      <c r="I77" s="104"/>
      <c r="L77" s="98">
        <f t="shared" si="7"/>
        <v>3.3419999999999996</v>
      </c>
      <c r="W77" s="99"/>
      <c r="X77" s="100"/>
    </row>
    <row r="78" spans="1:24" s="98" customFormat="1" ht="12" x14ac:dyDescent="0.25">
      <c r="A78" s="103">
        <v>42528.388194444444</v>
      </c>
      <c r="B78" s="102">
        <v>4.0810000000000004</v>
      </c>
      <c r="C78" s="102">
        <f t="shared" si="5"/>
        <v>1310.8969999999999</v>
      </c>
      <c r="D78" s="103">
        <v>42522.573611111111</v>
      </c>
      <c r="E78" s="102">
        <v>6.61</v>
      </c>
      <c r="F78" s="102">
        <f t="shared" si="6"/>
        <v>1287.4550000000002</v>
      </c>
      <c r="G78" s="104"/>
      <c r="H78" s="104"/>
      <c r="I78" s="104"/>
      <c r="L78" s="98">
        <f t="shared" si="7"/>
        <v>3.3810000000000002</v>
      </c>
      <c r="W78" s="99"/>
      <c r="X78" s="100"/>
    </row>
    <row r="79" spans="1:24" s="98" customFormat="1" ht="12" x14ac:dyDescent="0.25">
      <c r="A79" s="103">
        <v>42521.53402777778</v>
      </c>
      <c r="B79" s="102">
        <v>4.03</v>
      </c>
      <c r="C79" s="102">
        <f t="shared" si="5"/>
        <v>1310.9479999999999</v>
      </c>
      <c r="D79" s="103">
        <v>42524.45208333333</v>
      </c>
      <c r="E79" s="102">
        <v>4.758</v>
      </c>
      <c r="F79" s="102">
        <f t="shared" si="6"/>
        <v>1289.307</v>
      </c>
      <c r="G79" s="104"/>
      <c r="H79" s="104"/>
      <c r="I79" s="104"/>
      <c r="L79" s="98">
        <f t="shared" si="7"/>
        <v>3.33</v>
      </c>
      <c r="W79" s="99"/>
      <c r="X79" s="100"/>
    </row>
    <row r="80" spans="1:24" s="98" customFormat="1" ht="12" x14ac:dyDescent="0.25">
      <c r="A80" s="103">
        <v>42522.413194444445</v>
      </c>
      <c r="B80" s="102">
        <v>3.98</v>
      </c>
      <c r="C80" s="102">
        <f t="shared" si="5"/>
        <v>1310.9979999999998</v>
      </c>
      <c r="D80" s="103">
        <v>42528.438888888886</v>
      </c>
      <c r="E80" s="102">
        <v>4.6879999999999997</v>
      </c>
      <c r="F80" s="102">
        <f t="shared" si="6"/>
        <v>1289.377</v>
      </c>
      <c r="G80" s="104"/>
      <c r="H80" s="104"/>
      <c r="I80" s="104"/>
      <c r="L80" s="98">
        <f t="shared" si="7"/>
        <v>3.2800000000000002</v>
      </c>
      <c r="W80" s="99"/>
      <c r="X80" s="100"/>
    </row>
    <row r="81" spans="1:24" s="98" customFormat="1" ht="12" x14ac:dyDescent="0.25">
      <c r="A81" s="103">
        <v>42527.381249999999</v>
      </c>
      <c r="B81" s="102">
        <v>4.0490000000000004</v>
      </c>
      <c r="C81" s="102">
        <f t="shared" si="5"/>
        <v>1310.9289999999999</v>
      </c>
      <c r="D81" s="103">
        <v>42528.441666666666</v>
      </c>
      <c r="E81" s="102">
        <v>4.8550000000000004</v>
      </c>
      <c r="F81" s="102">
        <f t="shared" si="6"/>
        <v>1289.21</v>
      </c>
      <c r="G81" s="104"/>
      <c r="H81" s="104"/>
      <c r="I81" s="104"/>
      <c r="L81" s="98">
        <f t="shared" si="7"/>
        <v>3.3490000000000002</v>
      </c>
      <c r="W81" s="99"/>
      <c r="X81" s="100"/>
    </row>
    <row r="82" spans="1:24" s="98" customFormat="1" ht="12" x14ac:dyDescent="0.25">
      <c r="A82" s="103">
        <v>42527.396527777775</v>
      </c>
      <c r="B82" s="102">
        <v>4.05</v>
      </c>
      <c r="C82" s="102">
        <f t="shared" si="5"/>
        <v>1310.9279999999999</v>
      </c>
      <c r="D82" s="103">
        <v>42528.444444444445</v>
      </c>
      <c r="E82" s="102">
        <v>5.19</v>
      </c>
      <c r="F82" s="102">
        <f t="shared" si="6"/>
        <v>1288.875</v>
      </c>
      <c r="G82" s="104"/>
      <c r="H82" s="104"/>
      <c r="I82" s="104"/>
      <c r="L82" s="98">
        <f t="shared" si="7"/>
        <v>3.3499999999999996</v>
      </c>
      <c r="W82" s="99"/>
      <c r="X82" s="100"/>
    </row>
    <row r="83" spans="1:24" s="98" customFormat="1" ht="12" x14ac:dyDescent="0.25">
      <c r="A83" s="103">
        <v>42527.410416666666</v>
      </c>
      <c r="B83" s="102">
        <v>4.05</v>
      </c>
      <c r="C83" s="102">
        <f t="shared" si="5"/>
        <v>1310.9279999999999</v>
      </c>
      <c r="D83" s="103">
        <v>42528.446527777778</v>
      </c>
      <c r="E83" s="102">
        <v>5.375</v>
      </c>
      <c r="F83" s="102">
        <f t="shared" si="6"/>
        <v>1288.69</v>
      </c>
      <c r="G83" s="104"/>
      <c r="H83" s="104"/>
      <c r="I83" s="104"/>
      <c r="L83" s="98">
        <f t="shared" si="7"/>
        <v>3.3499999999999996</v>
      </c>
      <c r="W83" s="99"/>
      <c r="X83" s="100"/>
    </row>
    <row r="84" spans="1:24" s="98" customFormat="1" ht="12" x14ac:dyDescent="0.25">
      <c r="A84" s="103">
        <v>42527.436805555553</v>
      </c>
      <c r="B84" s="102">
        <v>4.0549999999999997</v>
      </c>
      <c r="C84" s="102">
        <f t="shared" si="5"/>
        <v>1310.9229999999998</v>
      </c>
      <c r="D84" s="103">
        <v>42528.448611111111</v>
      </c>
      <c r="E84" s="102">
        <v>5.6150000000000002</v>
      </c>
      <c r="F84" s="102">
        <f t="shared" si="6"/>
        <v>1288.45</v>
      </c>
      <c r="G84" s="104"/>
      <c r="H84" s="104"/>
      <c r="I84" s="104"/>
      <c r="L84" s="98">
        <f t="shared" si="7"/>
        <v>3.3549999999999995</v>
      </c>
      <c r="W84" s="99"/>
      <c r="X84" s="100"/>
    </row>
    <row r="85" spans="1:24" s="98" customFormat="1" ht="12" x14ac:dyDescent="0.25">
      <c r="A85" s="103">
        <v>42527.470138888886</v>
      </c>
      <c r="B85" s="102">
        <v>4.0549999999999997</v>
      </c>
      <c r="C85" s="102">
        <f t="shared" si="5"/>
        <v>1310.9229999999998</v>
      </c>
      <c r="D85" s="103">
        <v>42528.450694444444</v>
      </c>
      <c r="E85" s="102">
        <v>5.8049999999999997</v>
      </c>
      <c r="F85" s="102">
        <f t="shared" si="6"/>
        <v>1288.26</v>
      </c>
      <c r="G85" s="104"/>
      <c r="H85" s="104"/>
      <c r="I85" s="104"/>
      <c r="L85" s="98">
        <f t="shared" si="7"/>
        <v>3.3549999999999995</v>
      </c>
      <c r="W85" s="99"/>
      <c r="X85" s="100"/>
    </row>
    <row r="86" spans="1:24" s="98" customFormat="1" ht="12" x14ac:dyDescent="0.25">
      <c r="A86" s="103">
        <v>42527.49722222222</v>
      </c>
      <c r="B86" s="102">
        <v>4.0549999999999997</v>
      </c>
      <c r="C86" s="102">
        <f t="shared" si="5"/>
        <v>1310.9229999999998</v>
      </c>
      <c r="D86" s="103">
        <v>42528.45208333333</v>
      </c>
      <c r="E86" s="102">
        <v>5.9349999999999996</v>
      </c>
      <c r="F86" s="102">
        <f t="shared" si="6"/>
        <v>1288.1300000000001</v>
      </c>
      <c r="G86" s="104"/>
      <c r="H86" s="104"/>
      <c r="I86" s="104"/>
      <c r="L86" s="98">
        <f t="shared" si="7"/>
        <v>3.3549999999999995</v>
      </c>
      <c r="W86" s="99"/>
      <c r="X86" s="100"/>
    </row>
    <row r="87" spans="1:24" s="98" customFormat="1" ht="12" x14ac:dyDescent="0.25">
      <c r="A87" s="103">
        <v>42527.529166666667</v>
      </c>
      <c r="B87" s="102">
        <v>4.0540000000000003</v>
      </c>
      <c r="C87" s="102">
        <f t="shared" si="5"/>
        <v>1310.9239999999998</v>
      </c>
      <c r="D87" s="103">
        <v>42528.45416666667</v>
      </c>
      <c r="E87" s="102">
        <v>6.0250000000000004</v>
      </c>
      <c r="F87" s="102">
        <f t="shared" si="6"/>
        <v>1288.04</v>
      </c>
      <c r="G87" s="104"/>
      <c r="H87" s="104"/>
      <c r="I87" s="104"/>
      <c r="L87" s="98">
        <f t="shared" si="7"/>
        <v>3.3540000000000001</v>
      </c>
      <c r="W87" s="99"/>
      <c r="X87" s="100"/>
    </row>
    <row r="88" spans="1:24" s="98" customFormat="1" ht="12" x14ac:dyDescent="0.25">
      <c r="A88" s="103">
        <v>42527.572916666664</v>
      </c>
      <c r="B88" s="102">
        <v>4.056</v>
      </c>
      <c r="C88" s="102">
        <f t="shared" si="5"/>
        <v>1310.9219999999998</v>
      </c>
      <c r="D88" s="103">
        <v>42528.456250000003</v>
      </c>
      <c r="E88" s="102">
        <v>6.0839999999999996</v>
      </c>
      <c r="F88" s="102">
        <f t="shared" si="6"/>
        <v>1287.981</v>
      </c>
      <c r="G88" s="104"/>
      <c r="H88" s="104"/>
      <c r="I88" s="104"/>
      <c r="L88" s="98">
        <f t="shared" si="7"/>
        <v>3.3559999999999999</v>
      </c>
      <c r="W88" s="99"/>
      <c r="X88" s="100"/>
    </row>
    <row r="89" spans="1:24" s="98" customFormat="1" ht="12" x14ac:dyDescent="0.25">
      <c r="A89" s="103">
        <v>42527.613194444442</v>
      </c>
      <c r="B89" s="102">
        <v>4.0599999999999996</v>
      </c>
      <c r="C89" s="102">
        <f t="shared" si="5"/>
        <v>1310.9179999999999</v>
      </c>
      <c r="D89" s="103">
        <v>42528.458333333336</v>
      </c>
      <c r="E89" s="102">
        <v>6.1639999999999997</v>
      </c>
      <c r="F89" s="102">
        <f t="shared" si="6"/>
        <v>1287.9010000000001</v>
      </c>
      <c r="G89" s="104"/>
      <c r="H89" s="104"/>
      <c r="I89" s="104"/>
      <c r="L89" s="98">
        <f t="shared" si="7"/>
        <v>3.3599999999999994</v>
      </c>
      <c r="W89" s="99"/>
      <c r="X89" s="100"/>
    </row>
    <row r="90" spans="1:24" s="98" customFormat="1" ht="12" x14ac:dyDescent="0.25">
      <c r="A90" s="103">
        <v>42527.65347222222</v>
      </c>
      <c r="B90" s="102">
        <v>4.0599999999999996</v>
      </c>
      <c r="C90" s="102">
        <f t="shared" si="5"/>
        <v>1310.9179999999999</v>
      </c>
      <c r="D90" s="103">
        <v>42528.460416666669</v>
      </c>
      <c r="E90" s="102">
        <v>6.2439999999999998</v>
      </c>
      <c r="F90" s="102">
        <f t="shared" si="6"/>
        <v>1287.8210000000001</v>
      </c>
      <c r="G90" s="104"/>
      <c r="H90" s="104"/>
      <c r="I90" s="104"/>
      <c r="L90" s="98">
        <f t="shared" si="7"/>
        <v>3.3599999999999994</v>
      </c>
      <c r="W90" s="99"/>
      <c r="X90" s="100"/>
    </row>
    <row r="91" spans="1:24" s="98" customFormat="1" ht="12" x14ac:dyDescent="0.25">
      <c r="A91" s="103">
        <v>42527.690972222219</v>
      </c>
      <c r="B91" s="102">
        <v>4.0620000000000003</v>
      </c>
      <c r="C91" s="102">
        <f t="shared" si="5"/>
        <v>1310.9159999999999</v>
      </c>
      <c r="D91" s="103"/>
      <c r="E91" s="102"/>
      <c r="F91" s="102"/>
      <c r="G91" s="104"/>
      <c r="H91" s="104"/>
      <c r="I91" s="104"/>
      <c r="L91" s="98">
        <f t="shared" si="7"/>
        <v>3.3620000000000001</v>
      </c>
      <c r="W91" s="99"/>
      <c r="X91" s="100"/>
    </row>
    <row r="92" spans="1:24" s="98" customFormat="1" ht="12" x14ac:dyDescent="0.25">
      <c r="A92" s="112">
        <v>42527.706944444442</v>
      </c>
      <c r="B92" s="110">
        <v>4.0650000000000004</v>
      </c>
      <c r="C92" s="110">
        <f t="shared" si="5"/>
        <v>1310.9129999999998</v>
      </c>
      <c r="D92" s="109"/>
      <c r="E92" s="111"/>
      <c r="F92" s="110"/>
      <c r="G92" s="111"/>
      <c r="H92" s="111"/>
      <c r="I92" s="111"/>
      <c r="L92" s="98">
        <f t="shared" si="7"/>
        <v>3.3650000000000002</v>
      </c>
      <c r="W92" s="99"/>
      <c r="X92" s="100"/>
    </row>
    <row r="93" spans="1:24" s="98" customFormat="1" ht="12" x14ac:dyDescent="0.25">
      <c r="B93" s="100"/>
      <c r="W93" s="99"/>
      <c r="X93" s="100"/>
    </row>
    <row r="94" spans="1:24" s="98" customFormat="1" ht="12" x14ac:dyDescent="0.25">
      <c r="A94" s="98" t="s">
        <v>303</v>
      </c>
      <c r="B94" s="100"/>
      <c r="W94" s="99"/>
      <c r="X94" s="100"/>
    </row>
    <row r="95" spans="1:24" s="98" customFormat="1" ht="12" x14ac:dyDescent="0.25">
      <c r="A95" s="98" t="s">
        <v>112</v>
      </c>
      <c r="B95" s="100"/>
      <c r="W95" s="99"/>
      <c r="X95" s="100"/>
    </row>
  </sheetData>
  <pageMargins left="0.7" right="0.7" top="0.75" bottom="0.75" header="0.3" footer="0.3"/>
  <pageSetup orientation="landscape" r:id="rId1"/>
  <headerFooter>
    <oddFooter>&amp;L&amp;8ES102011123831RDD&amp;R&amp;8&amp;P OF &amp;N</oddFooter>
  </headerFooter>
  <rowBreaks count="2" manualBreakCount="2">
    <brk id="30" max="10" man="1"/>
    <brk id="63" max="10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view="pageBreakPreview" zoomScale="110" zoomScaleNormal="100" zoomScaleSheetLayoutView="110" workbookViewId="0">
      <pane xSplit="36156" ySplit="15780" topLeftCell="AE44"/>
      <selection activeCell="D70" sqref="D70"/>
      <selection pane="topRight" activeCell="F38" sqref="F38"/>
      <selection pane="bottomLeft" activeCell="F80" sqref="F80:G80"/>
      <selection pane="bottomRight" activeCell="AE44" sqref="AE44"/>
    </sheetView>
  </sheetViews>
  <sheetFormatPr defaultColWidth="9.109375" defaultRowHeight="12" x14ac:dyDescent="0.25"/>
  <cols>
    <col min="1" max="1" width="20.44140625" style="76" customWidth="1"/>
    <col min="2" max="2" width="6.88671875" style="76" bestFit="1" customWidth="1"/>
    <col min="3" max="4" width="6.33203125" style="76" bestFit="1" customWidth="1"/>
    <col min="5" max="5" width="5" style="76" bestFit="1" customWidth="1"/>
    <col min="6" max="6" width="9.33203125" style="76" bestFit="1" customWidth="1"/>
    <col min="7" max="7" width="12.5546875" style="76" customWidth="1"/>
    <col min="8" max="9" width="14.44140625" style="76" customWidth="1"/>
    <col min="10" max="10" width="14.109375" style="76" customWidth="1"/>
    <col min="11" max="11" width="12.6640625" style="76" customWidth="1"/>
    <col min="12" max="13" width="16.109375" style="76" customWidth="1"/>
    <col min="14" max="16384" width="9.109375" style="76"/>
  </cols>
  <sheetData>
    <row r="1" spans="1:16" s="131" customFormat="1" ht="13.8" x14ac:dyDescent="0.3">
      <c r="A1" s="90" t="s">
        <v>249</v>
      </c>
      <c r="B1" s="90"/>
      <c r="C1" s="129"/>
      <c r="D1" s="129"/>
      <c r="E1" s="129"/>
      <c r="F1" s="130"/>
      <c r="G1" s="130"/>
      <c r="H1" s="130"/>
      <c r="I1" s="130"/>
      <c r="J1" s="130"/>
      <c r="K1" s="130"/>
      <c r="L1" s="130"/>
      <c r="M1" s="130"/>
    </row>
    <row r="2" spans="1:16" s="131" customFormat="1" ht="13.8" x14ac:dyDescent="0.3">
      <c r="A2" s="91" t="s">
        <v>0</v>
      </c>
      <c r="B2" s="91"/>
      <c r="C2" s="129"/>
      <c r="D2" s="129"/>
      <c r="E2" s="129"/>
      <c r="F2" s="130"/>
      <c r="G2" s="130"/>
      <c r="H2" s="130"/>
      <c r="I2" s="130"/>
      <c r="J2" s="130"/>
      <c r="K2" s="130"/>
      <c r="L2" s="130"/>
      <c r="M2" s="130"/>
    </row>
    <row r="3" spans="1:16" ht="4.5" customHeight="1" x14ac:dyDescent="0.25">
      <c r="A3" s="60"/>
      <c r="B3" s="60"/>
      <c r="C3" s="61"/>
      <c r="D3" s="61"/>
      <c r="E3" s="61"/>
      <c r="F3" s="64"/>
      <c r="G3" s="64"/>
      <c r="H3" s="64"/>
      <c r="I3" s="64"/>
      <c r="J3" s="64"/>
      <c r="K3" s="64"/>
      <c r="L3" s="64"/>
      <c r="M3" s="64"/>
    </row>
    <row r="4" spans="1:16" s="117" customFormat="1" ht="15" customHeight="1" x14ac:dyDescent="0.3">
      <c r="A4" s="134"/>
      <c r="B4" s="343" t="s">
        <v>622</v>
      </c>
      <c r="C4" s="344"/>
      <c r="D4" s="344"/>
      <c r="E4" s="344"/>
      <c r="F4" s="344"/>
      <c r="G4" s="345" t="s">
        <v>257</v>
      </c>
      <c r="H4" s="345" t="s">
        <v>266</v>
      </c>
      <c r="I4" s="135"/>
      <c r="J4" s="135"/>
      <c r="K4" s="135"/>
      <c r="L4" s="135"/>
      <c r="M4" s="135"/>
    </row>
    <row r="5" spans="1:16" s="117" customFormat="1" ht="15" customHeight="1" x14ac:dyDescent="0.3">
      <c r="A5" s="136" t="s">
        <v>250</v>
      </c>
      <c r="B5" s="136" t="s">
        <v>251</v>
      </c>
      <c r="C5" s="136" t="s">
        <v>252</v>
      </c>
      <c r="D5" s="136" t="s">
        <v>253</v>
      </c>
      <c r="E5" s="136" t="s">
        <v>254</v>
      </c>
      <c r="F5" s="136" t="s">
        <v>234</v>
      </c>
      <c r="G5" s="346"/>
      <c r="H5" s="346"/>
      <c r="I5" s="114"/>
      <c r="J5" s="137" t="s">
        <v>227</v>
      </c>
      <c r="K5" s="137" t="s">
        <v>256</v>
      </c>
      <c r="L5" s="137"/>
      <c r="M5" s="137" t="s">
        <v>226</v>
      </c>
      <c r="N5" s="137" t="s">
        <v>255</v>
      </c>
      <c r="O5" s="137" t="s">
        <v>227</v>
      </c>
      <c r="P5" s="137" t="s">
        <v>256</v>
      </c>
    </row>
    <row r="6" spans="1:16" ht="15" customHeight="1" x14ac:dyDescent="0.25">
      <c r="A6" s="132" t="s">
        <v>258</v>
      </c>
      <c r="B6" s="97"/>
      <c r="C6" s="97"/>
      <c r="D6" s="97"/>
      <c r="E6" s="97"/>
      <c r="F6" s="119"/>
      <c r="G6" s="97"/>
      <c r="H6" s="97"/>
      <c r="I6" s="97"/>
      <c r="J6" s="5"/>
      <c r="K6" s="5"/>
      <c r="L6" s="5"/>
      <c r="M6" s="5"/>
      <c r="N6" s="5"/>
      <c r="O6" s="5"/>
      <c r="P6" s="5"/>
    </row>
    <row r="7" spans="1:16" ht="15" customHeight="1" x14ac:dyDescent="0.25">
      <c r="A7" s="127">
        <v>42522.466666666667</v>
      </c>
      <c r="B7" s="128">
        <v>9.75</v>
      </c>
      <c r="C7" s="128">
        <v>9.74</v>
      </c>
      <c r="D7" s="128"/>
      <c r="E7" s="128"/>
      <c r="F7" s="128">
        <f t="shared" ref="F7:F15" si="0">AVERAGE(B7:E7)</f>
        <v>9.745000000000001</v>
      </c>
      <c r="G7" s="126">
        <f>1/F7</f>
        <v>0.1026167265264238</v>
      </c>
      <c r="H7" s="126">
        <f>AVERAGE(G7:G9)</f>
        <v>0.10164955363915136</v>
      </c>
      <c r="I7" s="122"/>
      <c r="J7" s="123">
        <f>G7*60/3.78541</f>
        <v>1.6265090417115788</v>
      </c>
      <c r="K7" s="123">
        <f t="shared" ref="K7:K15" si="1">G7*86400/1000</f>
        <v>8.8660851718830163</v>
      </c>
      <c r="L7" s="123">
        <f>AVERAGE(J7:J8)</f>
        <v>1.6190669566198634</v>
      </c>
      <c r="N7" s="123" t="e">
        <f>AVERAGE(#REF!)</f>
        <v>#REF!</v>
      </c>
      <c r="O7" s="123">
        <f t="shared" ref="O7" si="2">AVERAGE(J7:J9)</f>
        <v>1.6111790316898515</v>
      </c>
      <c r="P7" s="123">
        <f>AVERAGE(K7:K9)</f>
        <v>8.7825214344226765</v>
      </c>
    </row>
    <row r="8" spans="1:16" ht="15" customHeight="1" x14ac:dyDescent="0.25">
      <c r="A8" s="127">
        <v>42522.474999999999</v>
      </c>
      <c r="B8" s="128">
        <v>9.8000000000000007</v>
      </c>
      <c r="C8" s="128">
        <v>9.8699999999999992</v>
      </c>
      <c r="D8" s="128"/>
      <c r="E8" s="128"/>
      <c r="F8" s="128">
        <f t="shared" si="0"/>
        <v>9.8350000000000009</v>
      </c>
      <c r="G8" s="126">
        <f t="shared" ref="G8:G15" si="3">1/F8</f>
        <v>0.10167768174885612</v>
      </c>
      <c r="H8" s="126"/>
      <c r="I8" s="122"/>
      <c r="J8" s="123">
        <f t="shared" ref="J8:J15" si="4">G8*60/3.78541</f>
        <v>1.6116248715281483</v>
      </c>
      <c r="K8" s="123">
        <f t="shared" si="1"/>
        <v>8.7849517031011697</v>
      </c>
      <c r="L8" s="5"/>
      <c r="N8" s="123"/>
      <c r="O8" s="123"/>
      <c r="P8" s="5"/>
    </row>
    <row r="9" spans="1:16" ht="15" customHeight="1" x14ac:dyDescent="0.25">
      <c r="A9" s="127">
        <v>42522.481944444444</v>
      </c>
      <c r="B9" s="128">
        <v>10</v>
      </c>
      <c r="C9" s="128">
        <v>9.8699999999999992</v>
      </c>
      <c r="D9" s="128"/>
      <c r="E9" s="128"/>
      <c r="F9" s="128">
        <f t="shared" si="0"/>
        <v>9.9349999999999987</v>
      </c>
      <c r="G9" s="126">
        <f t="shared" si="3"/>
        <v>0.10065425264217415</v>
      </c>
      <c r="H9" s="126"/>
      <c r="I9" s="126"/>
      <c r="J9" s="123">
        <f t="shared" si="4"/>
        <v>1.595403181829828</v>
      </c>
      <c r="K9" s="123">
        <f t="shared" si="1"/>
        <v>8.6965274282838454</v>
      </c>
      <c r="L9" s="5"/>
      <c r="N9" s="123"/>
      <c r="O9" s="123"/>
      <c r="P9" s="5"/>
    </row>
    <row r="10" spans="1:16" ht="15" customHeight="1" x14ac:dyDescent="0.25">
      <c r="A10" s="127">
        <v>42522.48541666667</v>
      </c>
      <c r="B10" s="128">
        <v>8.25</v>
      </c>
      <c r="C10" s="128">
        <v>8.25</v>
      </c>
      <c r="D10" s="128">
        <v>8.1199999999999992</v>
      </c>
      <c r="E10" s="128"/>
      <c r="F10" s="128">
        <f t="shared" si="0"/>
        <v>8.2066666666666652</v>
      </c>
      <c r="G10" s="126">
        <f t="shared" si="3"/>
        <v>0.12185215272136476</v>
      </c>
      <c r="H10" s="126">
        <f>AVERAGE(G10:G11)</f>
        <v>0.12227576961221615</v>
      </c>
      <c r="I10" s="122"/>
      <c r="J10" s="123">
        <f t="shared" si="4"/>
        <v>1.9313969063541032</v>
      </c>
      <c r="K10" s="123">
        <f t="shared" si="1"/>
        <v>10.528025995125915</v>
      </c>
      <c r="L10" s="5"/>
      <c r="N10" s="123" t="e">
        <f>AVERAGE(#REF!)</f>
        <v>#REF!</v>
      </c>
      <c r="O10" s="123">
        <f t="shared" ref="O10" si="5">AVERAGE(J10:J11)</f>
        <v>1.9381113741267044</v>
      </c>
      <c r="P10" s="123">
        <f>AVERAGE(K10:K11)</f>
        <v>10.564626494495474</v>
      </c>
    </row>
    <row r="11" spans="1:16" ht="15" customHeight="1" x14ac:dyDescent="0.25">
      <c r="A11" s="127">
        <v>42522.491666666669</v>
      </c>
      <c r="B11" s="128">
        <v>8.18</v>
      </c>
      <c r="C11" s="128">
        <v>8.1199999999999992</v>
      </c>
      <c r="D11" s="128"/>
      <c r="E11" s="128"/>
      <c r="F11" s="128">
        <f t="shared" si="0"/>
        <v>8.1499999999999986</v>
      </c>
      <c r="G11" s="126">
        <f t="shared" si="3"/>
        <v>0.12269938650306751</v>
      </c>
      <c r="H11" s="126"/>
      <c r="I11" s="126"/>
      <c r="J11" s="123">
        <f t="shared" si="4"/>
        <v>1.9448258418993056</v>
      </c>
      <c r="K11" s="123">
        <f t="shared" si="1"/>
        <v>10.601226993865033</v>
      </c>
      <c r="L11" s="5"/>
      <c r="N11" s="123"/>
      <c r="O11" s="123"/>
      <c r="P11" s="5"/>
    </row>
    <row r="12" spans="1:16" ht="15" customHeight="1" x14ac:dyDescent="0.25">
      <c r="A12" s="127">
        <v>42522.493055555555</v>
      </c>
      <c r="B12" s="128">
        <v>6.37</v>
      </c>
      <c r="C12" s="128">
        <v>6.43</v>
      </c>
      <c r="D12" s="128">
        <v>6.51</v>
      </c>
      <c r="E12" s="128"/>
      <c r="F12" s="128">
        <f t="shared" si="0"/>
        <v>6.4366666666666674</v>
      </c>
      <c r="G12" s="126">
        <f t="shared" si="3"/>
        <v>0.15535991714137751</v>
      </c>
      <c r="H12" s="126">
        <f>AVERAGE(G12:G13)</f>
        <v>0.15650286976354216</v>
      </c>
      <c r="I12" s="122"/>
      <c r="J12" s="123">
        <f t="shared" si="4"/>
        <v>2.4625060504628693</v>
      </c>
      <c r="K12" s="123">
        <f t="shared" si="1"/>
        <v>13.423096841015017</v>
      </c>
      <c r="L12" s="5"/>
      <c r="N12" s="123" t="e">
        <f>AVERAGE(#REF!)</f>
        <v>#REF!</v>
      </c>
      <c r="O12" s="123">
        <f t="shared" ref="O12" si="6">AVERAGE(J12:J13)</f>
        <v>2.4806222273974363</v>
      </c>
      <c r="P12" s="123">
        <f>AVERAGE(K12:K13)</f>
        <v>13.521847947570041</v>
      </c>
    </row>
    <row r="13" spans="1:16" ht="15" customHeight="1" x14ac:dyDescent="0.25">
      <c r="A13" s="127">
        <v>42522.505555555559</v>
      </c>
      <c r="B13" s="128">
        <v>6.37</v>
      </c>
      <c r="C13" s="128">
        <v>6.35</v>
      </c>
      <c r="D13" s="128">
        <v>6.31</v>
      </c>
      <c r="E13" s="128"/>
      <c r="F13" s="128">
        <f t="shared" si="0"/>
        <v>6.3433333333333328</v>
      </c>
      <c r="G13" s="126">
        <f t="shared" si="3"/>
        <v>0.15764582238570679</v>
      </c>
      <c r="H13" s="126"/>
      <c r="I13" s="126"/>
      <c r="J13" s="123">
        <f t="shared" si="4"/>
        <v>2.4987384043320029</v>
      </c>
      <c r="K13" s="123">
        <f t="shared" si="1"/>
        <v>13.620599054125067</v>
      </c>
      <c r="L13" s="5"/>
      <c r="N13" s="123"/>
      <c r="O13" s="123"/>
      <c r="P13" s="5"/>
    </row>
    <row r="14" spans="1:16" ht="15" customHeight="1" x14ac:dyDescent="0.25">
      <c r="A14" s="127">
        <v>42522.507638888892</v>
      </c>
      <c r="B14" s="128">
        <v>4.75</v>
      </c>
      <c r="C14" s="128">
        <v>4.87</v>
      </c>
      <c r="D14" s="128"/>
      <c r="E14" s="128"/>
      <c r="F14" s="128">
        <f t="shared" si="0"/>
        <v>4.8100000000000005</v>
      </c>
      <c r="G14" s="126">
        <f t="shared" si="3"/>
        <v>0.20790020790020788</v>
      </c>
      <c r="H14" s="126">
        <f>AVERAGE(G14:G15)</f>
        <v>0.20869870730205925</v>
      </c>
      <c r="I14" s="122"/>
      <c r="J14" s="123">
        <f t="shared" si="4"/>
        <v>3.2952870294135836</v>
      </c>
      <c r="K14" s="123">
        <f t="shared" si="1"/>
        <v>17.96257796257796</v>
      </c>
      <c r="L14" s="5"/>
      <c r="N14" s="123" t="e">
        <f>AVERAGE(#REF!)</f>
        <v>#REF!</v>
      </c>
      <c r="O14" s="123">
        <f t="shared" ref="O14" si="7">AVERAGE(J14:J15)</f>
        <v>3.3079435089259963</v>
      </c>
      <c r="P14" s="123">
        <f>AVERAGE(K15)</f>
        <v>18.100558659217878</v>
      </c>
    </row>
    <row r="15" spans="1:16" ht="15" customHeight="1" x14ac:dyDescent="0.25">
      <c r="A15" s="127">
        <v>42522.510416666664</v>
      </c>
      <c r="B15" s="128">
        <v>4.76</v>
      </c>
      <c r="C15" s="128">
        <v>4.75</v>
      </c>
      <c r="D15" s="128">
        <v>4.8099999999999996</v>
      </c>
      <c r="E15" s="128"/>
      <c r="F15" s="128">
        <f t="shared" si="0"/>
        <v>4.7733333333333334</v>
      </c>
      <c r="G15" s="126">
        <f t="shared" si="3"/>
        <v>0.20949720670391062</v>
      </c>
      <c r="H15" s="126"/>
      <c r="I15" s="126"/>
      <c r="J15" s="123">
        <f t="shared" si="4"/>
        <v>3.3205999884384085</v>
      </c>
      <c r="K15" s="123">
        <f t="shared" si="1"/>
        <v>18.100558659217878</v>
      </c>
      <c r="L15" s="5"/>
      <c r="N15" s="123"/>
      <c r="O15" s="123"/>
      <c r="P15" s="5"/>
    </row>
    <row r="16" spans="1:16" ht="15" customHeight="1" x14ac:dyDescent="0.25">
      <c r="A16" s="138" t="s">
        <v>259</v>
      </c>
      <c r="B16" s="139"/>
      <c r="C16" s="139"/>
      <c r="D16" s="139"/>
      <c r="E16" s="139"/>
      <c r="F16" s="139"/>
      <c r="G16" s="140"/>
      <c r="H16" s="140"/>
      <c r="I16" s="4"/>
      <c r="J16" s="5"/>
      <c r="K16" s="123"/>
      <c r="L16" s="5"/>
      <c r="N16" s="5"/>
      <c r="O16" s="5"/>
      <c r="P16" s="5"/>
    </row>
    <row r="17" spans="1:16" ht="15" customHeight="1" x14ac:dyDescent="0.25">
      <c r="A17" s="127">
        <v>42522.572222222225</v>
      </c>
      <c r="B17" s="128">
        <v>27</v>
      </c>
      <c r="C17" s="128"/>
      <c r="D17" s="128"/>
      <c r="E17" s="128"/>
      <c r="F17" s="128">
        <f t="shared" ref="F17:F22" si="8">AVERAGE(B17:E17)</f>
        <v>27</v>
      </c>
      <c r="G17" s="126">
        <f t="shared" ref="G17:G22" si="9">1/F17</f>
        <v>3.7037037037037035E-2</v>
      </c>
      <c r="H17" s="126">
        <f>AVERAGE(G17:G22)</f>
        <v>3.2763509797728366E-2</v>
      </c>
      <c r="I17" s="122">
        <f>H17*60</f>
        <v>1.965810587863702</v>
      </c>
      <c r="J17" s="123">
        <f t="shared" ref="J17:J22" si="10">G17*60/3.78541</f>
        <v>0.58704928190664218</v>
      </c>
      <c r="K17" s="123">
        <f t="shared" ref="K17:K59" si="11">G17*86400/1000</f>
        <v>3.2</v>
      </c>
      <c r="L17" s="5"/>
      <c r="N17" s="123" t="e">
        <f>AVERAGE(#REF!)</f>
        <v>#REF!</v>
      </c>
      <c r="O17" s="123">
        <f t="shared" ref="O17:P17" si="12">AVERAGE(J17:J22)</f>
        <v>0.51931246228643702</v>
      </c>
      <c r="P17" s="123">
        <f t="shared" si="12"/>
        <v>2.8307672465237306</v>
      </c>
    </row>
    <row r="18" spans="1:16" ht="15" customHeight="1" x14ac:dyDescent="0.25">
      <c r="A18" s="127">
        <v>42522.577777777777</v>
      </c>
      <c r="B18" s="128">
        <v>47</v>
      </c>
      <c r="C18" s="128"/>
      <c r="D18" s="128"/>
      <c r="E18" s="128"/>
      <c r="F18" s="128">
        <f t="shared" si="8"/>
        <v>47</v>
      </c>
      <c r="G18" s="126">
        <f t="shared" si="9"/>
        <v>2.1276595744680851E-2</v>
      </c>
      <c r="H18" s="126"/>
      <c r="I18" s="122"/>
      <c r="J18" s="123">
        <f t="shared" si="10"/>
        <v>0.33724107683998589</v>
      </c>
      <c r="K18" s="123">
        <f t="shared" si="11"/>
        <v>1.8382978723404255</v>
      </c>
      <c r="L18" s="5"/>
      <c r="N18" s="5"/>
      <c r="O18" s="5"/>
      <c r="P18" s="5"/>
    </row>
    <row r="19" spans="1:16" ht="15" customHeight="1" x14ac:dyDescent="0.25">
      <c r="A19" s="127">
        <v>42522.588194444441</v>
      </c>
      <c r="B19" s="128">
        <v>91</v>
      </c>
      <c r="C19" s="128"/>
      <c r="D19" s="128"/>
      <c r="E19" s="128"/>
      <c r="F19" s="128">
        <f t="shared" si="8"/>
        <v>91</v>
      </c>
      <c r="G19" s="126">
        <f t="shared" si="9"/>
        <v>1.098901098901099E-2</v>
      </c>
      <c r="H19" s="126"/>
      <c r="I19" s="122"/>
      <c r="J19" s="123">
        <f t="shared" si="10"/>
        <v>0.17417945726900372</v>
      </c>
      <c r="K19" s="123">
        <f t="shared" si="11"/>
        <v>0.94945054945054952</v>
      </c>
      <c r="L19" s="5"/>
      <c r="N19" s="5"/>
      <c r="O19" s="5"/>
      <c r="P19" s="5"/>
    </row>
    <row r="20" spans="1:16" ht="15" customHeight="1" x14ac:dyDescent="0.25">
      <c r="A20" s="127">
        <v>42522.59097222222</v>
      </c>
      <c r="B20" s="128">
        <v>13.7</v>
      </c>
      <c r="C20" s="128"/>
      <c r="D20" s="128"/>
      <c r="E20" s="128"/>
      <c r="F20" s="128">
        <f t="shared" si="8"/>
        <v>13.7</v>
      </c>
      <c r="G20" s="126">
        <f t="shared" si="9"/>
        <v>7.2992700729927015E-2</v>
      </c>
      <c r="H20" s="126"/>
      <c r="I20" s="122"/>
      <c r="J20" s="123">
        <f t="shared" si="10"/>
        <v>1.1569584387941125</v>
      </c>
      <c r="K20" s="123">
        <f t="shared" si="11"/>
        <v>6.3065693430656937</v>
      </c>
      <c r="L20" s="5"/>
      <c r="N20" s="5"/>
      <c r="O20" s="5"/>
      <c r="P20" s="5"/>
    </row>
    <row r="21" spans="1:16" ht="15" customHeight="1" x14ac:dyDescent="0.25">
      <c r="A21" s="127">
        <v>42522.59375</v>
      </c>
      <c r="B21" s="128">
        <v>25</v>
      </c>
      <c r="C21" s="128"/>
      <c r="D21" s="128"/>
      <c r="E21" s="128"/>
      <c r="F21" s="128">
        <f t="shared" si="8"/>
        <v>25</v>
      </c>
      <c r="G21" s="126">
        <f t="shared" si="9"/>
        <v>0.04</v>
      </c>
      <c r="H21" s="126"/>
      <c r="I21" s="122"/>
      <c r="J21" s="123">
        <f t="shared" si="10"/>
        <v>0.63401322445917341</v>
      </c>
      <c r="K21" s="123">
        <f t="shared" si="11"/>
        <v>3.456</v>
      </c>
      <c r="L21" s="5"/>
      <c r="N21" s="5"/>
      <c r="O21" s="5"/>
      <c r="P21" s="5"/>
    </row>
    <row r="22" spans="1:16" ht="15" customHeight="1" x14ac:dyDescent="0.25">
      <c r="A22" s="127">
        <v>42522.59652777778</v>
      </c>
      <c r="B22" s="128">
        <v>70</v>
      </c>
      <c r="C22" s="128"/>
      <c r="D22" s="128"/>
      <c r="E22" s="128"/>
      <c r="F22" s="128">
        <f t="shared" si="8"/>
        <v>70</v>
      </c>
      <c r="G22" s="126">
        <f t="shared" si="9"/>
        <v>1.4285714285714285E-2</v>
      </c>
      <c r="H22" s="126"/>
      <c r="I22" s="126"/>
      <c r="J22" s="123">
        <f t="shared" si="10"/>
        <v>0.22643329444970481</v>
      </c>
      <c r="K22" s="123">
        <f t="shared" si="11"/>
        <v>1.2342857142857142</v>
      </c>
      <c r="L22" s="5"/>
      <c r="N22" s="5"/>
      <c r="O22" s="5"/>
      <c r="P22" s="5"/>
    </row>
    <row r="23" spans="1:16" ht="15" customHeight="1" x14ac:dyDescent="0.25">
      <c r="A23" s="138" t="s">
        <v>260</v>
      </c>
      <c r="B23" s="139"/>
      <c r="C23" s="139"/>
      <c r="D23" s="139"/>
      <c r="E23" s="139"/>
      <c r="F23" s="139"/>
      <c r="G23" s="140"/>
      <c r="H23" s="140"/>
      <c r="I23" s="4"/>
      <c r="J23" s="5"/>
      <c r="K23" s="123">
        <f t="shared" si="11"/>
        <v>0</v>
      </c>
      <c r="L23" s="5"/>
      <c r="N23" s="5"/>
      <c r="O23" s="5"/>
      <c r="P23" s="5"/>
    </row>
    <row r="24" spans="1:16" ht="15" customHeight="1" x14ac:dyDescent="0.25">
      <c r="A24" s="127">
        <v>42523.434027777781</v>
      </c>
      <c r="B24" s="128">
        <v>3.43</v>
      </c>
      <c r="C24" s="128">
        <v>3.31</v>
      </c>
      <c r="D24" s="128">
        <v>3.5</v>
      </c>
      <c r="E24" s="128"/>
      <c r="F24" s="128">
        <f>AVERAGE(B24:E24)</f>
        <v>3.4133333333333336</v>
      </c>
      <c r="G24" s="126">
        <f>1/F24</f>
        <v>0.29296875</v>
      </c>
      <c r="H24" s="126">
        <f>AVERAGE(G24:G25)</f>
        <v>0.27993633229537368</v>
      </c>
      <c r="I24" s="122"/>
      <c r="J24" s="123">
        <f>G24*60/3.78541</f>
        <v>4.6436515463318369</v>
      </c>
      <c r="K24" s="123">
        <f t="shared" si="11"/>
        <v>25.3125</v>
      </c>
      <c r="L24" s="5"/>
      <c r="N24" s="5"/>
      <c r="O24" s="5"/>
      <c r="P24" s="5"/>
    </row>
    <row r="25" spans="1:16" ht="15" customHeight="1" x14ac:dyDescent="0.25">
      <c r="A25" s="127">
        <v>42523.444444444445</v>
      </c>
      <c r="B25" s="128">
        <v>3.75</v>
      </c>
      <c r="C25" s="128">
        <v>3.75</v>
      </c>
      <c r="D25" s="128">
        <v>3.74</v>
      </c>
      <c r="E25" s="128"/>
      <c r="F25" s="128">
        <f>AVERAGE(B25:E25)</f>
        <v>3.7466666666666666</v>
      </c>
      <c r="G25" s="126">
        <f>1/F25</f>
        <v>0.26690391459074736</v>
      </c>
      <c r="H25" s="126"/>
      <c r="I25" s="126"/>
      <c r="J25" s="123">
        <f>G25*60/3.78541</f>
        <v>4.2305152877613894</v>
      </c>
      <c r="K25" s="123">
        <f t="shared" si="11"/>
        <v>23.060498220640572</v>
      </c>
      <c r="L25" s="5"/>
      <c r="N25" s="5"/>
      <c r="O25" s="5"/>
      <c r="P25" s="5"/>
    </row>
    <row r="26" spans="1:16" ht="15" customHeight="1" x14ac:dyDescent="0.25">
      <c r="A26" s="138" t="s">
        <v>261</v>
      </c>
      <c r="B26" s="139"/>
      <c r="C26" s="139"/>
      <c r="D26" s="139"/>
      <c r="E26" s="139"/>
      <c r="F26" s="139"/>
      <c r="G26" s="140"/>
      <c r="H26" s="140"/>
      <c r="I26" s="4"/>
      <c r="J26" s="5"/>
      <c r="K26" s="123">
        <f t="shared" si="11"/>
        <v>0</v>
      </c>
      <c r="L26" s="5"/>
      <c r="N26" s="5"/>
      <c r="O26" s="5"/>
      <c r="P26" s="5"/>
    </row>
    <row r="27" spans="1:16" ht="15" customHeight="1" x14ac:dyDescent="0.25">
      <c r="A27" s="127">
        <v>42523.586805555555</v>
      </c>
      <c r="B27" s="128">
        <v>21.3</v>
      </c>
      <c r="C27" s="128">
        <v>19.899999999999999</v>
      </c>
      <c r="D27" s="128">
        <v>20.399999999999999</v>
      </c>
      <c r="E27" s="128"/>
      <c r="F27" s="128">
        <f t="shared" ref="F27:F35" si="13">AVERAGE(B27:E27)</f>
        <v>20.533333333333335</v>
      </c>
      <c r="G27" s="126">
        <f t="shared" ref="G27:G35" si="14">1/F27</f>
        <v>4.8701298701298697E-2</v>
      </c>
      <c r="H27" s="126">
        <f>AVERAGE(G27:G29)</f>
        <v>4.9157383441843484E-2</v>
      </c>
      <c r="I27" s="122"/>
      <c r="J27" s="123">
        <f t="shared" ref="J27:J35" si="15">G27*60/3.78541</f>
        <v>0.77193168562399361</v>
      </c>
      <c r="K27" s="123">
        <f t="shared" si="11"/>
        <v>4.2077922077922079</v>
      </c>
      <c r="L27" s="5"/>
      <c r="N27" s="123"/>
      <c r="O27" s="123">
        <f>AVERAGE(J27:J29)</f>
        <v>0.77916077954847951</v>
      </c>
      <c r="P27" s="123">
        <f>AVERAGE(K27:K29)</f>
        <v>4.247197929375278</v>
      </c>
    </row>
    <row r="28" spans="1:16" ht="15" customHeight="1" x14ac:dyDescent="0.25">
      <c r="A28" s="127">
        <v>42523.592361111114</v>
      </c>
      <c r="B28" s="128">
        <v>20.100000000000001</v>
      </c>
      <c r="C28" s="128">
        <v>20.100000000000001</v>
      </c>
      <c r="D28" s="128"/>
      <c r="E28" s="128"/>
      <c r="F28" s="128">
        <f t="shared" si="13"/>
        <v>20.100000000000001</v>
      </c>
      <c r="G28" s="126">
        <f t="shared" si="14"/>
        <v>4.9751243781094523E-2</v>
      </c>
      <c r="H28" s="126"/>
      <c r="I28" s="122"/>
      <c r="J28" s="123">
        <f t="shared" si="15"/>
        <v>0.78857366226265346</v>
      </c>
      <c r="K28" s="123">
        <f t="shared" si="11"/>
        <v>4.2985074626865671</v>
      </c>
      <c r="L28" s="5"/>
      <c r="N28" s="5"/>
      <c r="O28" s="5"/>
      <c r="P28" s="5"/>
    </row>
    <row r="29" spans="1:16" ht="15" customHeight="1" x14ac:dyDescent="0.25">
      <c r="A29" s="127">
        <v>42523.603472222225</v>
      </c>
      <c r="B29" s="128">
        <v>20.5</v>
      </c>
      <c r="C29" s="128">
        <v>20.3</v>
      </c>
      <c r="D29" s="128">
        <v>20.399999999999999</v>
      </c>
      <c r="E29" s="128"/>
      <c r="F29" s="128">
        <f t="shared" si="13"/>
        <v>20.399999999999999</v>
      </c>
      <c r="G29" s="126">
        <f t="shared" si="14"/>
        <v>4.9019607843137261E-2</v>
      </c>
      <c r="H29" s="126"/>
      <c r="I29" s="126"/>
      <c r="J29" s="123">
        <f t="shared" si="15"/>
        <v>0.77697699075879112</v>
      </c>
      <c r="K29" s="123">
        <f t="shared" si="11"/>
        <v>4.2352941176470598</v>
      </c>
      <c r="L29" s="5"/>
      <c r="N29" s="5"/>
      <c r="O29" s="5"/>
      <c r="P29" s="5"/>
    </row>
    <row r="30" spans="1:16" ht="15" customHeight="1" x14ac:dyDescent="0.25">
      <c r="A30" s="127">
        <v>42523.606944444444</v>
      </c>
      <c r="B30" s="128">
        <v>10.3</v>
      </c>
      <c r="C30" s="128">
        <v>10.3</v>
      </c>
      <c r="D30" s="128">
        <v>10.199999999999999</v>
      </c>
      <c r="E30" s="128"/>
      <c r="F30" s="128">
        <f t="shared" si="13"/>
        <v>10.266666666666667</v>
      </c>
      <c r="G30" s="126">
        <f t="shared" si="14"/>
        <v>9.7402597402597393E-2</v>
      </c>
      <c r="H30" s="126">
        <f>AVERAGE(G30:G31)</f>
        <v>9.7561233554718879E-2</v>
      </c>
      <c r="I30" s="122"/>
      <c r="J30" s="123">
        <f t="shared" si="15"/>
        <v>1.5438633712479872</v>
      </c>
      <c r="K30" s="123">
        <f t="shared" si="11"/>
        <v>8.4155844155844157</v>
      </c>
      <c r="L30" s="5"/>
      <c r="N30" s="123"/>
      <c r="O30" s="123">
        <f>AVERAGE(J30:J31)</f>
        <v>1.5463778067060456</v>
      </c>
      <c r="P30" s="123">
        <f>AVERAGE(K30:K31)</f>
        <v>8.4292905791277128</v>
      </c>
    </row>
    <row r="31" spans="1:16" ht="15" customHeight="1" x14ac:dyDescent="0.25">
      <c r="A31" s="127">
        <v>42523.611111111109</v>
      </c>
      <c r="B31" s="128">
        <v>10.4</v>
      </c>
      <c r="C31" s="128">
        <v>10.199999999999999</v>
      </c>
      <c r="D31" s="128">
        <v>10.1</v>
      </c>
      <c r="E31" s="128"/>
      <c r="F31" s="128">
        <f t="shared" si="13"/>
        <v>10.233333333333334</v>
      </c>
      <c r="G31" s="126">
        <f t="shared" si="14"/>
        <v>9.7719869706840379E-2</v>
      </c>
      <c r="H31" s="126"/>
      <c r="I31" s="126"/>
      <c r="J31" s="123">
        <f t="shared" si="15"/>
        <v>1.5488922421641043</v>
      </c>
      <c r="K31" s="123">
        <f t="shared" si="11"/>
        <v>8.4429967426710082</v>
      </c>
      <c r="L31" s="5"/>
      <c r="N31" s="5"/>
      <c r="O31" s="5"/>
      <c r="P31" s="5"/>
    </row>
    <row r="32" spans="1:16" ht="15" customHeight="1" x14ac:dyDescent="0.25">
      <c r="A32" s="127">
        <v>42523.632638888892</v>
      </c>
      <c r="B32" s="128">
        <v>7.8</v>
      </c>
      <c r="C32" s="128">
        <v>7.8</v>
      </c>
      <c r="D32" s="128">
        <v>7.8</v>
      </c>
      <c r="E32" s="128"/>
      <c r="F32" s="128">
        <f t="shared" si="13"/>
        <v>7.8</v>
      </c>
      <c r="G32" s="126">
        <f t="shared" si="14"/>
        <v>0.12820512820512822</v>
      </c>
      <c r="H32" s="126">
        <f>AVERAGE(G32:G33)</f>
        <v>0.12875773651635722</v>
      </c>
      <c r="I32" s="122"/>
      <c r="J32" s="123">
        <f t="shared" si="15"/>
        <v>2.0320936681383768</v>
      </c>
      <c r="K32" s="123">
        <f t="shared" si="11"/>
        <v>11.076923076923078</v>
      </c>
      <c r="L32" s="5"/>
      <c r="N32" s="123"/>
      <c r="O32" s="123">
        <f>AVERAGE(J32:J33)</f>
        <v>2.0408526925700077</v>
      </c>
      <c r="P32" s="123">
        <f>AVERAGE(K32:K33)</f>
        <v>11.124668435013263</v>
      </c>
    </row>
    <row r="33" spans="1:16" ht="15" customHeight="1" x14ac:dyDescent="0.25">
      <c r="A33" s="127">
        <v>42523.640277777777</v>
      </c>
      <c r="B33" s="128">
        <v>7.8</v>
      </c>
      <c r="C33" s="128">
        <v>7.7</v>
      </c>
      <c r="D33" s="128">
        <v>7.7</v>
      </c>
      <c r="E33" s="128"/>
      <c r="F33" s="128">
        <f t="shared" si="13"/>
        <v>7.7333333333333334</v>
      </c>
      <c r="G33" s="126">
        <f t="shared" si="14"/>
        <v>0.12931034482758622</v>
      </c>
      <c r="H33" s="126"/>
      <c r="I33" s="126"/>
      <c r="J33" s="123">
        <f t="shared" si="15"/>
        <v>2.0496117170016386</v>
      </c>
      <c r="K33" s="123">
        <f t="shared" si="11"/>
        <v>11.172413793103448</v>
      </c>
      <c r="L33" s="5"/>
      <c r="N33" s="5"/>
      <c r="O33" s="5"/>
      <c r="P33" s="5"/>
    </row>
    <row r="34" spans="1:16" ht="15" customHeight="1" x14ac:dyDescent="0.25">
      <c r="A34" s="127">
        <v>42523.644444444442</v>
      </c>
      <c r="B34" s="128">
        <v>6</v>
      </c>
      <c r="C34" s="128">
        <v>6</v>
      </c>
      <c r="D34" s="128">
        <v>6</v>
      </c>
      <c r="E34" s="128"/>
      <c r="F34" s="128">
        <f t="shared" si="13"/>
        <v>6</v>
      </c>
      <c r="G34" s="126">
        <f t="shared" si="14"/>
        <v>0.16666666666666666</v>
      </c>
      <c r="H34" s="126">
        <f>AVERAGE(G34:G35)</f>
        <v>0.16760299625468164</v>
      </c>
      <c r="I34" s="122"/>
      <c r="J34" s="123">
        <f t="shared" si="15"/>
        <v>2.6417217685798895</v>
      </c>
      <c r="K34" s="123">
        <f t="shared" si="11"/>
        <v>14.4</v>
      </c>
      <c r="L34" s="5"/>
      <c r="N34" s="123"/>
      <c r="O34" s="123">
        <f>AVERAGE(J34:J35)</f>
        <v>2.6565629021112374</v>
      </c>
      <c r="P34" s="123">
        <f>AVERAGE(K34:K35)</f>
        <v>14.480898876404495</v>
      </c>
    </row>
    <row r="35" spans="1:16" ht="15" customHeight="1" x14ac:dyDescent="0.25">
      <c r="A35" s="127">
        <v>42523.65347222222</v>
      </c>
      <c r="B35" s="128">
        <v>6</v>
      </c>
      <c r="C35" s="128">
        <v>5.9</v>
      </c>
      <c r="D35" s="128">
        <v>5.9</v>
      </c>
      <c r="E35" s="128"/>
      <c r="F35" s="128">
        <f t="shared" si="13"/>
        <v>5.9333333333333336</v>
      </c>
      <c r="G35" s="126">
        <f t="shared" si="14"/>
        <v>0.16853932584269662</v>
      </c>
      <c r="H35" s="126"/>
      <c r="I35" s="126"/>
      <c r="J35" s="123">
        <f t="shared" si="15"/>
        <v>2.6714040356425848</v>
      </c>
      <c r="K35" s="123">
        <f t="shared" si="11"/>
        <v>14.561797752808989</v>
      </c>
      <c r="L35" s="5"/>
      <c r="N35" s="5"/>
      <c r="O35" s="5"/>
      <c r="P35" s="5"/>
    </row>
    <row r="36" spans="1:16" ht="15" customHeight="1" x14ac:dyDescent="0.25">
      <c r="A36" s="138" t="s">
        <v>262</v>
      </c>
      <c r="B36" s="139"/>
      <c r="C36" s="139"/>
      <c r="D36" s="139"/>
      <c r="E36" s="139"/>
      <c r="F36" s="139"/>
      <c r="G36" s="140"/>
      <c r="H36" s="140"/>
      <c r="I36" s="4"/>
      <c r="J36" s="5"/>
      <c r="K36" s="123">
        <f t="shared" si="11"/>
        <v>0</v>
      </c>
      <c r="L36" s="5"/>
      <c r="N36" s="5"/>
      <c r="O36" s="5"/>
      <c r="P36" s="5"/>
    </row>
    <row r="37" spans="1:16" ht="15" customHeight="1" x14ac:dyDescent="0.25">
      <c r="A37" s="127">
        <v>42524.429861111108</v>
      </c>
      <c r="B37" s="128">
        <v>16.899999999999999</v>
      </c>
      <c r="C37" s="128"/>
      <c r="D37" s="128"/>
      <c r="E37" s="128"/>
      <c r="F37" s="128">
        <f>AVERAGE(B37:E37)</f>
        <v>16.899999999999999</v>
      </c>
      <c r="G37" s="126">
        <f>1/F37</f>
        <v>5.9171597633136098E-2</v>
      </c>
      <c r="H37" s="126">
        <f>AVERAGE(G37)</f>
        <v>5.9171597633136098E-2</v>
      </c>
      <c r="I37" s="122"/>
      <c r="J37" s="123">
        <f>G37*60/3.78541</f>
        <v>0.93788938529463539</v>
      </c>
      <c r="K37" s="123">
        <f t="shared" si="11"/>
        <v>5.1124260355029589</v>
      </c>
      <c r="L37" s="5"/>
      <c r="N37" s="5"/>
      <c r="O37" s="5"/>
      <c r="P37" s="5"/>
    </row>
    <row r="38" spans="1:16" ht="15" customHeight="1" x14ac:dyDescent="0.25">
      <c r="A38" s="138" t="s">
        <v>263</v>
      </c>
      <c r="B38" s="139"/>
      <c r="C38" s="139"/>
      <c r="D38" s="139"/>
      <c r="E38" s="139"/>
      <c r="F38" s="139"/>
      <c r="G38" s="140"/>
      <c r="H38" s="140"/>
      <c r="I38" s="4"/>
      <c r="J38" s="5"/>
      <c r="K38" s="123">
        <f t="shared" si="11"/>
        <v>0</v>
      </c>
      <c r="L38" s="5"/>
      <c r="N38" s="5"/>
      <c r="O38" s="5"/>
      <c r="P38" s="5"/>
    </row>
    <row r="39" spans="1:16" ht="15" customHeight="1" x14ac:dyDescent="0.25">
      <c r="A39" s="127">
        <v>42525.390972222223</v>
      </c>
      <c r="B39" s="128">
        <v>3.9</v>
      </c>
      <c r="C39" s="128">
        <v>3.8</v>
      </c>
      <c r="D39" s="128">
        <v>3.8</v>
      </c>
      <c r="E39" s="128"/>
      <c r="F39" s="128">
        <f t="shared" ref="F39:F51" si="16">AVERAGE(B39:E39)</f>
        <v>3.8333333333333335</v>
      </c>
      <c r="G39" s="126">
        <f t="shared" ref="G39:G51" si="17">1/F39</f>
        <v>0.2608695652173913</v>
      </c>
      <c r="H39" s="126">
        <f>AVERAGE(G39:G51)</f>
        <v>0.24913224181141846</v>
      </c>
      <c r="I39" s="122"/>
      <c r="J39" s="123">
        <f t="shared" ref="J39:J51" si="18">G39*60/3.78541</f>
        <v>4.1348688551685226</v>
      </c>
      <c r="K39" s="123">
        <f t="shared" si="11"/>
        <v>22.539130434782606</v>
      </c>
      <c r="L39" s="5"/>
      <c r="N39" s="123" t="e">
        <f>AVERAGE(#REF!)</f>
        <v>#REF!</v>
      </c>
      <c r="O39" s="123">
        <f t="shared" ref="O39" si="19">AVERAGE(J39:J51)</f>
        <v>3.9488283986899977</v>
      </c>
      <c r="P39" s="123">
        <f>AVERAGE(K39:K51)</f>
        <v>21.525025692506556</v>
      </c>
    </row>
    <row r="40" spans="1:16" ht="15" customHeight="1" x14ac:dyDescent="0.25">
      <c r="A40" s="127">
        <v>42525.400694444441</v>
      </c>
      <c r="B40" s="128">
        <v>4.2</v>
      </c>
      <c r="C40" s="128">
        <v>4.0999999999999996</v>
      </c>
      <c r="D40" s="128">
        <v>4.0999999999999996</v>
      </c>
      <c r="E40" s="128"/>
      <c r="F40" s="128">
        <f t="shared" si="16"/>
        <v>4.1333333333333337</v>
      </c>
      <c r="G40" s="126">
        <f t="shared" si="17"/>
        <v>0.24193548387096772</v>
      </c>
      <c r="H40" s="126"/>
      <c r="I40" s="122"/>
      <c r="J40" s="123">
        <f t="shared" si="18"/>
        <v>3.8347574060030651</v>
      </c>
      <c r="K40" s="123">
        <f t="shared" si="11"/>
        <v>20.903225806451609</v>
      </c>
      <c r="L40" s="5"/>
      <c r="N40" s="5"/>
      <c r="O40" s="5"/>
      <c r="P40" s="5"/>
    </row>
    <row r="41" spans="1:16" ht="15" customHeight="1" x14ac:dyDescent="0.25">
      <c r="A41" s="127">
        <v>42525.420138888891</v>
      </c>
      <c r="B41" s="128">
        <v>3.9</v>
      </c>
      <c r="C41" s="128">
        <v>3.9</v>
      </c>
      <c r="D41" s="128">
        <v>4</v>
      </c>
      <c r="E41" s="128"/>
      <c r="F41" s="128">
        <f t="shared" si="16"/>
        <v>3.9333333333333336</v>
      </c>
      <c r="G41" s="126">
        <f t="shared" si="17"/>
        <v>0.25423728813559321</v>
      </c>
      <c r="H41" s="126"/>
      <c r="I41" s="122"/>
      <c r="J41" s="123">
        <f t="shared" si="18"/>
        <v>4.0297450707150855</v>
      </c>
      <c r="K41" s="123">
        <f t="shared" si="11"/>
        <v>21.966101694915256</v>
      </c>
      <c r="L41" s="5"/>
      <c r="N41" s="5"/>
      <c r="O41" s="5"/>
      <c r="P41" s="5"/>
    </row>
    <row r="42" spans="1:16" ht="15" customHeight="1" x14ac:dyDescent="0.25">
      <c r="A42" s="127">
        <v>42525.45</v>
      </c>
      <c r="B42" s="128">
        <v>4.0999999999999996</v>
      </c>
      <c r="C42" s="128">
        <v>4.0999999999999996</v>
      </c>
      <c r="D42" s="128">
        <v>4.0999999999999996</v>
      </c>
      <c r="E42" s="128">
        <v>4.0999999999999996</v>
      </c>
      <c r="F42" s="128">
        <f t="shared" si="16"/>
        <v>4.0999999999999996</v>
      </c>
      <c r="G42" s="126">
        <f t="shared" si="17"/>
        <v>0.24390243902439027</v>
      </c>
      <c r="H42" s="126"/>
      <c r="I42" s="122"/>
      <c r="J42" s="123">
        <f t="shared" si="18"/>
        <v>3.8659342954827651</v>
      </c>
      <c r="K42" s="123">
        <f t="shared" si="11"/>
        <v>21.073170731707318</v>
      </c>
      <c r="L42" s="5"/>
      <c r="N42" s="5"/>
      <c r="O42" s="5"/>
      <c r="P42" s="5"/>
    </row>
    <row r="43" spans="1:16" ht="15" customHeight="1" x14ac:dyDescent="0.25">
      <c r="A43" s="127">
        <v>42525.477777777778</v>
      </c>
      <c r="B43" s="128">
        <v>4</v>
      </c>
      <c r="C43" s="128">
        <v>4.0999999999999996</v>
      </c>
      <c r="D43" s="128">
        <v>4.0999999999999996</v>
      </c>
      <c r="E43" s="128"/>
      <c r="F43" s="128">
        <f t="shared" si="16"/>
        <v>4.0666666666666664</v>
      </c>
      <c r="G43" s="126">
        <f t="shared" si="17"/>
        <v>0.24590163934426232</v>
      </c>
      <c r="H43" s="126"/>
      <c r="I43" s="122"/>
      <c r="J43" s="123">
        <f t="shared" si="18"/>
        <v>3.8976222815113126</v>
      </c>
      <c r="K43" s="123">
        <f t="shared" si="11"/>
        <v>21.245901639344265</v>
      </c>
      <c r="L43" s="5"/>
      <c r="N43" s="5"/>
      <c r="O43" s="5"/>
      <c r="P43" s="5"/>
    </row>
    <row r="44" spans="1:16" ht="15" customHeight="1" x14ac:dyDescent="0.25">
      <c r="A44" s="127">
        <v>42525.498611111114</v>
      </c>
      <c r="B44" s="128">
        <v>4.0999999999999996</v>
      </c>
      <c r="C44" s="128">
        <v>4.0999999999999996</v>
      </c>
      <c r="D44" s="128">
        <v>4</v>
      </c>
      <c r="E44" s="128"/>
      <c r="F44" s="128">
        <f t="shared" si="16"/>
        <v>4.0666666666666664</v>
      </c>
      <c r="G44" s="126">
        <f t="shared" si="17"/>
        <v>0.24590163934426232</v>
      </c>
      <c r="H44" s="126"/>
      <c r="I44" s="122"/>
      <c r="J44" s="123">
        <f t="shared" si="18"/>
        <v>3.8976222815113126</v>
      </c>
      <c r="K44" s="123">
        <f t="shared" si="11"/>
        <v>21.245901639344265</v>
      </c>
      <c r="L44" s="5"/>
      <c r="N44" s="5"/>
      <c r="O44" s="5"/>
      <c r="P44" s="5"/>
    </row>
    <row r="45" spans="1:16" ht="15" customHeight="1" x14ac:dyDescent="0.25">
      <c r="A45" s="127">
        <v>42525.536111111112</v>
      </c>
      <c r="B45" s="128">
        <v>4</v>
      </c>
      <c r="C45" s="128">
        <v>4</v>
      </c>
      <c r="D45" s="128">
        <v>4.0999999999999996</v>
      </c>
      <c r="E45" s="128"/>
      <c r="F45" s="128">
        <f t="shared" si="16"/>
        <v>4.0333333333333332</v>
      </c>
      <c r="G45" s="126">
        <f t="shared" si="17"/>
        <v>0.24793388429752067</v>
      </c>
      <c r="H45" s="126"/>
      <c r="I45" s="122"/>
      <c r="J45" s="123">
        <f t="shared" si="18"/>
        <v>3.9298340359039678</v>
      </c>
      <c r="K45" s="123">
        <f t="shared" si="11"/>
        <v>21.421487603305785</v>
      </c>
      <c r="L45" s="5"/>
      <c r="N45" s="5"/>
      <c r="O45" s="5"/>
      <c r="P45" s="5"/>
    </row>
    <row r="46" spans="1:16" ht="15" customHeight="1" x14ac:dyDescent="0.25">
      <c r="A46" s="127">
        <v>42525.55972222222</v>
      </c>
      <c r="B46" s="128">
        <v>4.0999999999999996</v>
      </c>
      <c r="C46" s="128">
        <v>3.9</v>
      </c>
      <c r="D46" s="128">
        <v>4</v>
      </c>
      <c r="E46" s="128"/>
      <c r="F46" s="128">
        <f t="shared" si="16"/>
        <v>4</v>
      </c>
      <c r="G46" s="126">
        <f t="shared" si="17"/>
        <v>0.25</v>
      </c>
      <c r="H46" s="126"/>
      <c r="I46" s="122"/>
      <c r="J46" s="123">
        <f t="shared" si="18"/>
        <v>3.9625826528698345</v>
      </c>
      <c r="K46" s="123">
        <f t="shared" si="11"/>
        <v>21.6</v>
      </c>
      <c r="L46" s="5"/>
      <c r="N46" s="5"/>
      <c r="O46" s="5"/>
      <c r="P46" s="5"/>
    </row>
    <row r="47" spans="1:16" ht="15" customHeight="1" x14ac:dyDescent="0.25">
      <c r="A47" s="127">
        <v>42525.588194444441</v>
      </c>
      <c r="B47" s="128">
        <v>4</v>
      </c>
      <c r="C47" s="128">
        <v>4</v>
      </c>
      <c r="D47" s="128">
        <v>3.9</v>
      </c>
      <c r="E47" s="128"/>
      <c r="F47" s="128">
        <f t="shared" si="16"/>
        <v>3.9666666666666668</v>
      </c>
      <c r="G47" s="126">
        <f t="shared" si="17"/>
        <v>0.25210084033613445</v>
      </c>
      <c r="H47" s="126"/>
      <c r="I47" s="122"/>
      <c r="J47" s="123">
        <f t="shared" si="18"/>
        <v>3.9958816667594967</v>
      </c>
      <c r="K47" s="123">
        <f t="shared" si="11"/>
        <v>21.781512605042014</v>
      </c>
      <c r="L47" s="5"/>
      <c r="N47" s="5"/>
      <c r="O47" s="5"/>
      <c r="P47" s="5"/>
    </row>
    <row r="48" spans="1:16" ht="15" customHeight="1" x14ac:dyDescent="0.25">
      <c r="A48" s="127">
        <v>42525.631249999999</v>
      </c>
      <c r="B48" s="128">
        <v>4.0999999999999996</v>
      </c>
      <c r="C48" s="128">
        <v>4.0999999999999996</v>
      </c>
      <c r="D48" s="128">
        <v>4</v>
      </c>
      <c r="E48" s="128"/>
      <c r="F48" s="128">
        <f t="shared" si="16"/>
        <v>4.0666666666666664</v>
      </c>
      <c r="G48" s="126">
        <f t="shared" si="17"/>
        <v>0.24590163934426232</v>
      </c>
      <c r="H48" s="126"/>
      <c r="I48" s="122"/>
      <c r="J48" s="123">
        <f t="shared" si="18"/>
        <v>3.8976222815113126</v>
      </c>
      <c r="K48" s="123">
        <f t="shared" si="11"/>
        <v>21.245901639344265</v>
      </c>
      <c r="L48" s="5"/>
      <c r="N48" s="5"/>
      <c r="O48" s="5"/>
      <c r="P48" s="5"/>
    </row>
    <row r="49" spans="1:16" ht="15" customHeight="1" x14ac:dyDescent="0.25">
      <c r="A49" s="127">
        <v>42525.667361111111</v>
      </c>
      <c r="B49" s="128">
        <v>4</v>
      </c>
      <c r="C49" s="128">
        <v>4.0999999999999996</v>
      </c>
      <c r="D49" s="128">
        <v>4</v>
      </c>
      <c r="E49" s="128"/>
      <c r="F49" s="128">
        <f t="shared" si="16"/>
        <v>4.0333333333333332</v>
      </c>
      <c r="G49" s="126">
        <f t="shared" si="17"/>
        <v>0.24793388429752067</v>
      </c>
      <c r="H49" s="126"/>
      <c r="I49" s="122"/>
      <c r="J49" s="123">
        <f t="shared" si="18"/>
        <v>3.9298340359039678</v>
      </c>
      <c r="K49" s="123">
        <f t="shared" si="11"/>
        <v>21.421487603305785</v>
      </c>
      <c r="L49" s="5"/>
      <c r="N49" s="5"/>
      <c r="O49" s="5"/>
      <c r="P49" s="5"/>
    </row>
    <row r="50" spans="1:16" ht="15" customHeight="1" x14ac:dyDescent="0.25">
      <c r="A50" s="127">
        <v>42525.7</v>
      </c>
      <c r="B50" s="128">
        <v>3.9</v>
      </c>
      <c r="C50" s="128">
        <v>4</v>
      </c>
      <c r="D50" s="128">
        <v>4</v>
      </c>
      <c r="E50" s="128"/>
      <c r="F50" s="128">
        <f t="shared" si="16"/>
        <v>3.9666666666666668</v>
      </c>
      <c r="G50" s="126">
        <f t="shared" si="17"/>
        <v>0.25210084033613445</v>
      </c>
      <c r="H50" s="126"/>
      <c r="I50" s="122"/>
      <c r="J50" s="123">
        <f t="shared" si="18"/>
        <v>3.9958816667594967</v>
      </c>
      <c r="K50" s="123">
        <f t="shared" si="11"/>
        <v>21.781512605042014</v>
      </c>
      <c r="L50" s="5"/>
      <c r="N50" s="5"/>
      <c r="O50" s="5"/>
      <c r="P50" s="5"/>
    </row>
    <row r="51" spans="1:16" ht="15" customHeight="1" x14ac:dyDescent="0.25">
      <c r="A51" s="127">
        <v>42525.72152777778</v>
      </c>
      <c r="B51" s="128">
        <v>4.0999999999999996</v>
      </c>
      <c r="C51" s="128">
        <v>3.9</v>
      </c>
      <c r="D51" s="128">
        <v>4</v>
      </c>
      <c r="E51" s="128"/>
      <c r="F51" s="128">
        <f t="shared" si="16"/>
        <v>4</v>
      </c>
      <c r="G51" s="126">
        <f t="shared" si="17"/>
        <v>0.25</v>
      </c>
      <c r="H51" s="126"/>
      <c r="I51" s="126"/>
      <c r="J51" s="123">
        <f t="shared" si="18"/>
        <v>3.9625826528698345</v>
      </c>
      <c r="K51" s="123">
        <f t="shared" si="11"/>
        <v>21.6</v>
      </c>
      <c r="L51" s="5"/>
      <c r="N51" s="5"/>
      <c r="O51" s="5"/>
      <c r="P51" s="5"/>
    </row>
    <row r="52" spans="1:16" ht="15" customHeight="1" x14ac:dyDescent="0.25">
      <c r="A52" s="138" t="s">
        <v>264</v>
      </c>
      <c r="B52" s="139"/>
      <c r="C52" s="139"/>
      <c r="D52" s="139"/>
      <c r="E52" s="139"/>
      <c r="F52" s="139"/>
      <c r="G52" s="140"/>
      <c r="H52" s="140"/>
      <c r="I52" s="4"/>
      <c r="J52" s="5"/>
      <c r="K52" s="123">
        <f t="shared" si="11"/>
        <v>0</v>
      </c>
      <c r="L52" s="5"/>
      <c r="N52" s="5"/>
      <c r="O52" s="5"/>
      <c r="P52" s="5"/>
    </row>
    <row r="53" spans="1:16" ht="15" customHeight="1" x14ac:dyDescent="0.25">
      <c r="A53" s="103">
        <v>42527.377083333333</v>
      </c>
      <c r="B53" s="128">
        <v>7.9</v>
      </c>
      <c r="C53" s="128">
        <v>7.9</v>
      </c>
      <c r="D53" s="128">
        <v>7.9</v>
      </c>
      <c r="E53" s="128"/>
      <c r="F53" s="128">
        <f t="shared" ref="F53:F65" si="20">AVERAGE(B53:E53)</f>
        <v>7.9000000000000012</v>
      </c>
      <c r="G53" s="126">
        <f t="shared" ref="G53:G65" si="21">1/F53</f>
        <v>0.12658227848101264</v>
      </c>
      <c r="H53" s="126">
        <f>AVERAGE(G53:G65)</f>
        <v>0.128508305756108</v>
      </c>
      <c r="I53" s="122"/>
      <c r="J53" s="123">
        <f t="shared" ref="J53:J65" si="22">G53*60/3.78541</f>
        <v>2.0063709634783966</v>
      </c>
      <c r="K53" s="123">
        <f t="shared" si="11"/>
        <v>10.936708860759492</v>
      </c>
      <c r="L53" s="5"/>
      <c r="N53" s="123"/>
      <c r="O53" s="123">
        <f>AVERAGE(J53:J65)</f>
        <v>2.0368991325553849</v>
      </c>
      <c r="P53" s="123">
        <f>AVERAGE(K53:K65)</f>
        <v>11.103117617327731</v>
      </c>
    </row>
    <row r="54" spans="1:16" ht="15" customHeight="1" x14ac:dyDescent="0.25">
      <c r="A54" s="103">
        <v>42527.388194444444</v>
      </c>
      <c r="B54" s="128">
        <v>7.8</v>
      </c>
      <c r="C54" s="128">
        <v>7.8</v>
      </c>
      <c r="D54" s="128">
        <v>7.7</v>
      </c>
      <c r="E54" s="128"/>
      <c r="F54" s="128">
        <f t="shared" si="20"/>
        <v>7.7666666666666666</v>
      </c>
      <c r="G54" s="126">
        <f t="shared" si="21"/>
        <v>0.12875536480686695</v>
      </c>
      <c r="H54" s="126"/>
      <c r="I54" s="122"/>
      <c r="J54" s="123">
        <f t="shared" si="22"/>
        <v>2.0408151001904726</v>
      </c>
      <c r="K54" s="123">
        <f t="shared" si="11"/>
        <v>11.124463519313304</v>
      </c>
      <c r="L54" s="5"/>
      <c r="N54" s="5"/>
      <c r="O54" s="5"/>
      <c r="P54" s="5"/>
    </row>
    <row r="55" spans="1:16" ht="15" customHeight="1" x14ac:dyDescent="0.25">
      <c r="A55" s="103">
        <v>42527.398611111108</v>
      </c>
      <c r="B55" s="128">
        <v>7.7</v>
      </c>
      <c r="C55" s="128">
        <v>7.8</v>
      </c>
      <c r="D55" s="128">
        <v>7.8</v>
      </c>
      <c r="E55" s="128"/>
      <c r="F55" s="128">
        <f t="shared" si="20"/>
        <v>7.7666666666666666</v>
      </c>
      <c r="G55" s="126">
        <f t="shared" si="21"/>
        <v>0.12875536480686695</v>
      </c>
      <c r="H55" s="126"/>
      <c r="I55" s="122"/>
      <c r="J55" s="123">
        <f t="shared" si="22"/>
        <v>2.0408151001904726</v>
      </c>
      <c r="K55" s="123">
        <f t="shared" si="11"/>
        <v>11.124463519313304</v>
      </c>
      <c r="L55" s="5"/>
      <c r="N55" s="5"/>
      <c r="O55" s="5"/>
      <c r="P55" s="5"/>
    </row>
    <row r="56" spans="1:16" ht="15" customHeight="1" x14ac:dyDescent="0.25">
      <c r="A56" s="103">
        <v>42527.406944444447</v>
      </c>
      <c r="B56" s="128">
        <v>7.7</v>
      </c>
      <c r="C56" s="128">
        <v>7.8</v>
      </c>
      <c r="D56" s="128">
        <v>7.6</v>
      </c>
      <c r="E56" s="128"/>
      <c r="F56" s="128">
        <f t="shared" si="20"/>
        <v>7.7</v>
      </c>
      <c r="G56" s="126">
        <f t="shared" si="21"/>
        <v>0.12987012987012986</v>
      </c>
      <c r="H56" s="126"/>
      <c r="I56" s="122"/>
      <c r="J56" s="123">
        <f t="shared" si="22"/>
        <v>2.0584844949973164</v>
      </c>
      <c r="K56" s="123">
        <f t="shared" si="11"/>
        <v>11.220779220779219</v>
      </c>
      <c r="L56" s="5"/>
      <c r="N56" s="5"/>
      <c r="O56" s="5"/>
      <c r="P56" s="5"/>
    </row>
    <row r="57" spans="1:16" ht="15" customHeight="1" x14ac:dyDescent="0.25">
      <c r="A57" s="103">
        <v>42527.432638888888</v>
      </c>
      <c r="B57" s="128">
        <v>7.7</v>
      </c>
      <c r="C57" s="128">
        <v>7.7</v>
      </c>
      <c r="D57" s="128">
        <v>7.6</v>
      </c>
      <c r="E57" s="128"/>
      <c r="F57" s="128">
        <f t="shared" si="20"/>
        <v>7.666666666666667</v>
      </c>
      <c r="G57" s="126">
        <f t="shared" si="21"/>
        <v>0.13043478260869565</v>
      </c>
      <c r="H57" s="126"/>
      <c r="I57" s="122"/>
      <c r="J57" s="123">
        <f t="shared" si="22"/>
        <v>2.0674344275842613</v>
      </c>
      <c r="K57" s="123">
        <f t="shared" si="11"/>
        <v>11.269565217391303</v>
      </c>
      <c r="L57" s="5"/>
      <c r="N57" s="5"/>
      <c r="O57" s="5"/>
      <c r="P57" s="5"/>
    </row>
    <row r="58" spans="1:16" ht="15" customHeight="1" x14ac:dyDescent="0.25">
      <c r="A58" s="103">
        <v>42527.464583333334</v>
      </c>
      <c r="B58" s="128">
        <v>7.7</v>
      </c>
      <c r="C58" s="128">
        <v>7.8</v>
      </c>
      <c r="D58" s="128">
        <v>7.8</v>
      </c>
      <c r="E58" s="128"/>
      <c r="F58" s="128">
        <f t="shared" si="20"/>
        <v>7.7666666666666666</v>
      </c>
      <c r="G58" s="126">
        <f t="shared" si="21"/>
        <v>0.12875536480686695</v>
      </c>
      <c r="H58" s="126"/>
      <c r="I58" s="122"/>
      <c r="J58" s="123">
        <f t="shared" si="22"/>
        <v>2.0408151001904726</v>
      </c>
      <c r="K58" s="123">
        <f t="shared" si="11"/>
        <v>11.124463519313304</v>
      </c>
      <c r="L58" s="5"/>
      <c r="N58" s="5"/>
      <c r="O58" s="5"/>
      <c r="P58" s="5"/>
    </row>
    <row r="59" spans="1:16" ht="15" customHeight="1" x14ac:dyDescent="0.25">
      <c r="A59" s="103">
        <v>42527.493750000001</v>
      </c>
      <c r="B59" s="128">
        <v>7.7</v>
      </c>
      <c r="C59" s="128">
        <v>7.9</v>
      </c>
      <c r="D59" s="128">
        <v>7.9</v>
      </c>
      <c r="E59" s="128"/>
      <c r="F59" s="128">
        <f t="shared" si="20"/>
        <v>7.833333333333333</v>
      </c>
      <c r="G59" s="126">
        <f t="shared" si="21"/>
        <v>0.12765957446808512</v>
      </c>
      <c r="H59" s="126"/>
      <c r="I59" s="122"/>
      <c r="J59" s="123">
        <f t="shared" si="22"/>
        <v>2.0234464610399159</v>
      </c>
      <c r="K59" s="123">
        <f t="shared" si="11"/>
        <v>11.029787234042555</v>
      </c>
      <c r="L59" s="5"/>
      <c r="N59" s="5"/>
      <c r="O59" s="5"/>
      <c r="P59" s="5"/>
    </row>
    <row r="60" spans="1:16" ht="15" customHeight="1" x14ac:dyDescent="0.25">
      <c r="A60" s="103">
        <v>42527.525694444441</v>
      </c>
      <c r="B60" s="128">
        <v>7.7</v>
      </c>
      <c r="C60" s="128">
        <v>7.7</v>
      </c>
      <c r="D60" s="128">
        <v>7.8</v>
      </c>
      <c r="E60" s="128"/>
      <c r="F60" s="128">
        <f t="shared" si="20"/>
        <v>7.7333333333333334</v>
      </c>
      <c r="G60" s="126">
        <f t="shared" si="21"/>
        <v>0.12931034482758622</v>
      </c>
      <c r="H60" s="126"/>
      <c r="I60" s="122"/>
      <c r="J60" s="123">
        <f t="shared" si="22"/>
        <v>2.0496117170016386</v>
      </c>
      <c r="K60" s="123">
        <f t="shared" ref="K60:K75" si="23">G60*86400/1000</f>
        <v>11.172413793103448</v>
      </c>
      <c r="L60" s="5"/>
      <c r="N60" s="5"/>
      <c r="O60" s="5"/>
      <c r="P60" s="5"/>
    </row>
    <row r="61" spans="1:16" ht="15" customHeight="1" x14ac:dyDescent="0.25">
      <c r="A61" s="103">
        <v>42527.568749999999</v>
      </c>
      <c r="B61" s="128">
        <v>7.8</v>
      </c>
      <c r="C61" s="128">
        <v>7.8</v>
      </c>
      <c r="D61" s="128">
        <v>7.9</v>
      </c>
      <c r="E61" s="128"/>
      <c r="F61" s="128">
        <f t="shared" si="20"/>
        <v>7.833333333333333</v>
      </c>
      <c r="G61" s="126">
        <f t="shared" si="21"/>
        <v>0.12765957446808512</v>
      </c>
      <c r="H61" s="126"/>
      <c r="I61" s="122"/>
      <c r="J61" s="123">
        <f t="shared" si="22"/>
        <v>2.0234464610399159</v>
      </c>
      <c r="K61" s="123">
        <f t="shared" si="23"/>
        <v>11.029787234042555</v>
      </c>
      <c r="L61" s="5"/>
      <c r="N61" s="5"/>
      <c r="O61" s="5"/>
      <c r="P61" s="5"/>
    </row>
    <row r="62" spans="1:16" ht="15" customHeight="1" x14ac:dyDescent="0.25">
      <c r="A62" s="103">
        <v>42527.609722222223</v>
      </c>
      <c r="B62" s="128">
        <v>7.8</v>
      </c>
      <c r="C62" s="128">
        <v>7.8</v>
      </c>
      <c r="D62" s="128">
        <v>7.8</v>
      </c>
      <c r="E62" s="128"/>
      <c r="F62" s="128">
        <f t="shared" si="20"/>
        <v>7.8</v>
      </c>
      <c r="G62" s="126">
        <f t="shared" si="21"/>
        <v>0.12820512820512822</v>
      </c>
      <c r="H62" s="126"/>
      <c r="I62" s="122"/>
      <c r="J62" s="123">
        <f t="shared" si="22"/>
        <v>2.0320936681383768</v>
      </c>
      <c r="K62" s="123">
        <f t="shared" si="23"/>
        <v>11.076923076923078</v>
      </c>
      <c r="L62" s="5"/>
      <c r="N62" s="5"/>
      <c r="O62" s="5"/>
      <c r="P62" s="5"/>
    </row>
    <row r="63" spans="1:16" ht="15" customHeight="1" x14ac:dyDescent="0.25">
      <c r="A63" s="103">
        <v>42527.65</v>
      </c>
      <c r="B63" s="128">
        <v>7.8</v>
      </c>
      <c r="C63" s="128">
        <v>7.7</v>
      </c>
      <c r="D63" s="128">
        <v>7.9</v>
      </c>
      <c r="E63" s="128"/>
      <c r="F63" s="128">
        <f t="shared" si="20"/>
        <v>7.8</v>
      </c>
      <c r="G63" s="126">
        <f t="shared" si="21"/>
        <v>0.12820512820512822</v>
      </c>
      <c r="H63" s="126"/>
      <c r="I63" s="122"/>
      <c r="J63" s="123">
        <f t="shared" si="22"/>
        <v>2.0320936681383768</v>
      </c>
      <c r="K63" s="123">
        <f t="shared" si="23"/>
        <v>11.076923076923078</v>
      </c>
      <c r="L63" s="5"/>
      <c r="N63" s="5"/>
      <c r="O63" s="5"/>
      <c r="P63" s="5"/>
    </row>
    <row r="64" spans="1:16" ht="15" customHeight="1" x14ac:dyDescent="0.25">
      <c r="A64" s="103">
        <v>42527.688194444447</v>
      </c>
      <c r="B64" s="128">
        <v>7.8</v>
      </c>
      <c r="C64" s="128">
        <v>7.8</v>
      </c>
      <c r="D64" s="128">
        <v>7.7</v>
      </c>
      <c r="E64" s="128"/>
      <c r="F64" s="128">
        <f t="shared" si="20"/>
        <v>7.7666666666666666</v>
      </c>
      <c r="G64" s="126">
        <f t="shared" si="21"/>
        <v>0.12875536480686695</v>
      </c>
      <c r="H64" s="126"/>
      <c r="I64" s="122"/>
      <c r="J64" s="123">
        <f t="shared" si="22"/>
        <v>2.0408151001904726</v>
      </c>
      <c r="K64" s="123">
        <f t="shared" si="23"/>
        <v>11.124463519313304</v>
      </c>
      <c r="L64" s="5"/>
      <c r="N64" s="5"/>
      <c r="O64" s="5"/>
      <c r="P64" s="5"/>
    </row>
    <row r="65" spans="1:16" ht="15" customHeight="1" x14ac:dyDescent="0.25">
      <c r="A65" s="103">
        <v>42527.70208333333</v>
      </c>
      <c r="B65" s="128">
        <v>7.9</v>
      </c>
      <c r="C65" s="128">
        <v>7.8</v>
      </c>
      <c r="D65" s="128">
        <v>7.8</v>
      </c>
      <c r="E65" s="128"/>
      <c r="F65" s="128">
        <f t="shared" si="20"/>
        <v>7.833333333333333</v>
      </c>
      <c r="G65" s="126">
        <f t="shared" si="21"/>
        <v>0.12765957446808512</v>
      </c>
      <c r="H65" s="126"/>
      <c r="I65" s="122"/>
      <c r="J65" s="123">
        <f t="shared" si="22"/>
        <v>2.0234464610399159</v>
      </c>
      <c r="K65" s="123">
        <f t="shared" si="23"/>
        <v>11.029787234042555</v>
      </c>
      <c r="L65" s="5"/>
      <c r="N65" s="5"/>
      <c r="O65" s="5"/>
      <c r="P65" s="5"/>
    </row>
    <row r="66" spans="1:16" ht="15" customHeight="1" x14ac:dyDescent="0.25">
      <c r="A66" s="138" t="s">
        <v>265</v>
      </c>
      <c r="B66" s="139"/>
      <c r="C66" s="139"/>
      <c r="D66" s="139"/>
      <c r="E66" s="139"/>
      <c r="F66" s="139"/>
      <c r="G66" s="140"/>
      <c r="H66" s="141"/>
      <c r="J66" s="5"/>
      <c r="K66" s="123">
        <f t="shared" si="23"/>
        <v>0</v>
      </c>
      <c r="L66" s="5"/>
      <c r="N66" s="5"/>
      <c r="O66" s="5"/>
      <c r="P66" s="5"/>
    </row>
    <row r="67" spans="1:16" ht="15" customHeight="1" x14ac:dyDescent="0.25">
      <c r="A67" s="103">
        <v>42528.441666666666</v>
      </c>
      <c r="B67" s="128">
        <v>71</v>
      </c>
      <c r="C67" s="128"/>
      <c r="D67" s="128"/>
      <c r="E67" s="128"/>
      <c r="F67" s="128">
        <f t="shared" ref="F67:F75" si="24">AVERAGE(B67:E67)</f>
        <v>71</v>
      </c>
      <c r="G67" s="126">
        <f t="shared" ref="G67:G75" si="25">1/F67</f>
        <v>1.4084507042253521E-2</v>
      </c>
      <c r="H67" s="126">
        <f>AVERAGE(G67:G75)</f>
        <v>1.0595731868979184E-2</v>
      </c>
      <c r="I67" s="122"/>
      <c r="J67" s="123">
        <f t="shared" ref="J67:J75" si="26">G67*60/3.78541</f>
        <v>0.22324409311942728</v>
      </c>
      <c r="K67" s="123">
        <f t="shared" si="23"/>
        <v>1.2169014084507044</v>
      </c>
      <c r="L67" s="5"/>
      <c r="N67" s="5"/>
      <c r="O67" s="5"/>
      <c r="P67" s="5"/>
    </row>
    <row r="68" spans="1:16" ht="15" customHeight="1" x14ac:dyDescent="0.25">
      <c r="A68" s="103">
        <v>42528.446527777778</v>
      </c>
      <c r="B68" s="128">
        <v>98</v>
      </c>
      <c r="C68" s="128"/>
      <c r="D68" s="128"/>
      <c r="E68" s="128"/>
      <c r="F68" s="128">
        <f t="shared" si="24"/>
        <v>98</v>
      </c>
      <c r="G68" s="126">
        <f t="shared" si="25"/>
        <v>1.020408163265306E-2</v>
      </c>
      <c r="H68" s="126"/>
      <c r="I68" s="122"/>
      <c r="J68" s="123">
        <f t="shared" si="26"/>
        <v>0.16173806746407485</v>
      </c>
      <c r="K68" s="123">
        <f t="shared" si="23"/>
        <v>0.88163265306122451</v>
      </c>
      <c r="L68" s="5"/>
      <c r="N68" s="5"/>
      <c r="O68" s="5"/>
      <c r="P68" s="5"/>
    </row>
    <row r="69" spans="1:16" ht="15" customHeight="1" x14ac:dyDescent="0.25">
      <c r="A69" s="103">
        <v>42528.448611111111</v>
      </c>
      <c r="B69" s="128">
        <v>65</v>
      </c>
      <c r="C69" s="128"/>
      <c r="D69" s="128"/>
      <c r="E69" s="128"/>
      <c r="F69" s="128">
        <f t="shared" si="24"/>
        <v>65</v>
      </c>
      <c r="G69" s="126">
        <f t="shared" si="25"/>
        <v>1.5384615384615385E-2</v>
      </c>
      <c r="H69" s="126"/>
      <c r="I69" s="122"/>
      <c r="J69" s="123">
        <f t="shared" si="26"/>
        <v>0.2438512401766052</v>
      </c>
      <c r="K69" s="123">
        <f t="shared" si="23"/>
        <v>1.3292307692307692</v>
      </c>
      <c r="L69" s="5"/>
      <c r="N69" s="5"/>
      <c r="O69" s="5"/>
      <c r="P69" s="5"/>
    </row>
    <row r="70" spans="1:16" ht="15" customHeight="1" x14ac:dyDescent="0.25">
      <c r="A70" s="103">
        <v>42528.450694444444</v>
      </c>
      <c r="B70" s="128">
        <v>82</v>
      </c>
      <c r="C70" s="128"/>
      <c r="D70" s="128"/>
      <c r="E70" s="128"/>
      <c r="F70" s="128">
        <f t="shared" si="24"/>
        <v>82</v>
      </c>
      <c r="G70" s="126">
        <f t="shared" si="25"/>
        <v>1.2195121951219513E-2</v>
      </c>
      <c r="H70" s="126"/>
      <c r="I70" s="122"/>
      <c r="J70" s="123">
        <f t="shared" si="26"/>
        <v>0.19329671477413826</v>
      </c>
      <c r="K70" s="123">
        <f t="shared" si="23"/>
        <v>1.0536585365853659</v>
      </c>
      <c r="L70" s="5"/>
      <c r="N70" s="5"/>
      <c r="O70" s="5"/>
      <c r="P70" s="5"/>
    </row>
    <row r="71" spans="1:16" ht="15" customHeight="1" x14ac:dyDescent="0.25">
      <c r="A71" s="103">
        <v>42528.45208333333</v>
      </c>
      <c r="B71" s="128">
        <v>100</v>
      </c>
      <c r="C71" s="128"/>
      <c r="D71" s="128"/>
      <c r="E71" s="128"/>
      <c r="F71" s="128">
        <f t="shared" si="24"/>
        <v>100</v>
      </c>
      <c r="G71" s="126">
        <f t="shared" si="25"/>
        <v>0.01</v>
      </c>
      <c r="H71" s="126"/>
      <c r="I71" s="122"/>
      <c r="J71" s="123">
        <f t="shared" si="26"/>
        <v>0.15850330611479335</v>
      </c>
      <c r="K71" s="123">
        <f t="shared" si="23"/>
        <v>0.86399999999999999</v>
      </c>
      <c r="L71" s="5"/>
      <c r="N71" s="5"/>
      <c r="O71" s="5"/>
      <c r="P71" s="5"/>
    </row>
    <row r="72" spans="1:16" ht="15" customHeight="1" x14ac:dyDescent="0.25">
      <c r="A72" s="103">
        <v>42528.45416666667</v>
      </c>
      <c r="B72" s="128">
        <v>126</v>
      </c>
      <c r="C72" s="128"/>
      <c r="D72" s="128"/>
      <c r="E72" s="128"/>
      <c r="F72" s="128">
        <f t="shared" si="24"/>
        <v>126</v>
      </c>
      <c r="G72" s="126">
        <f t="shared" si="25"/>
        <v>7.9365079365079361E-3</v>
      </c>
      <c r="H72" s="126"/>
      <c r="I72" s="122"/>
      <c r="J72" s="123">
        <f t="shared" si="26"/>
        <v>0.12579627469428045</v>
      </c>
      <c r="K72" s="123">
        <f t="shared" si="23"/>
        <v>0.68571428571428572</v>
      </c>
      <c r="L72" s="5"/>
      <c r="N72" s="5"/>
      <c r="O72" s="5"/>
      <c r="P72" s="5"/>
    </row>
    <row r="73" spans="1:16" ht="15" customHeight="1" x14ac:dyDescent="0.25">
      <c r="A73" s="103">
        <v>42528.456250000003</v>
      </c>
      <c r="B73" s="128">
        <v>160</v>
      </c>
      <c r="C73" s="128"/>
      <c r="D73" s="128"/>
      <c r="E73" s="128"/>
      <c r="F73" s="128">
        <f t="shared" si="24"/>
        <v>160</v>
      </c>
      <c r="G73" s="126">
        <f t="shared" si="25"/>
        <v>6.2500000000000003E-3</v>
      </c>
      <c r="H73" s="126"/>
      <c r="I73" s="122"/>
      <c r="J73" s="123">
        <f t="shared" si="26"/>
        <v>9.9064566321745859E-2</v>
      </c>
      <c r="K73" s="123">
        <f t="shared" si="23"/>
        <v>0.54</v>
      </c>
      <c r="L73" s="5"/>
      <c r="N73" s="5"/>
      <c r="O73" s="5"/>
      <c r="P73" s="5"/>
    </row>
    <row r="74" spans="1:16" ht="15" customHeight="1" x14ac:dyDescent="0.25">
      <c r="A74" s="103">
        <v>42528.458333333336</v>
      </c>
      <c r="B74" s="128">
        <v>87</v>
      </c>
      <c r="C74" s="128"/>
      <c r="D74" s="128"/>
      <c r="E74" s="128"/>
      <c r="F74" s="128">
        <f t="shared" si="24"/>
        <v>87</v>
      </c>
      <c r="G74" s="126">
        <f t="shared" si="25"/>
        <v>1.1494252873563218E-2</v>
      </c>
      <c r="H74" s="126"/>
      <c r="I74" s="122"/>
      <c r="J74" s="123">
        <f t="shared" si="26"/>
        <v>0.18218770817792343</v>
      </c>
      <c r="K74" s="123">
        <f t="shared" si="23"/>
        <v>0.99310344827586206</v>
      </c>
      <c r="L74" s="5"/>
      <c r="N74" s="5"/>
      <c r="O74" s="5"/>
      <c r="P74" s="5"/>
    </row>
    <row r="75" spans="1:16" ht="15" customHeight="1" x14ac:dyDescent="0.25">
      <c r="A75" s="112">
        <v>42528.460416666669</v>
      </c>
      <c r="B75" s="124">
        <v>128</v>
      </c>
      <c r="C75" s="124"/>
      <c r="D75" s="124"/>
      <c r="E75" s="124"/>
      <c r="F75" s="124">
        <f t="shared" si="24"/>
        <v>128</v>
      </c>
      <c r="G75" s="125">
        <f t="shared" si="25"/>
        <v>7.8125E-3</v>
      </c>
      <c r="H75" s="125"/>
      <c r="I75" s="122"/>
      <c r="J75" s="123">
        <f t="shared" si="26"/>
        <v>0.12383070790218233</v>
      </c>
      <c r="K75" s="123">
        <f t="shared" si="23"/>
        <v>0.67500000000000004</v>
      </c>
      <c r="L75" s="5"/>
      <c r="N75" s="5"/>
      <c r="O75" s="5"/>
      <c r="P75" s="5"/>
    </row>
    <row r="77" spans="1:16" x14ac:dyDescent="0.25">
      <c r="A77" s="5" t="s">
        <v>303</v>
      </c>
    </row>
    <row r="78" spans="1:16" x14ac:dyDescent="0.25">
      <c r="A78" s="76" t="s">
        <v>535</v>
      </c>
    </row>
  </sheetData>
  <mergeCells count="3">
    <mergeCell ref="B4:F4"/>
    <mergeCell ref="G4:G5"/>
    <mergeCell ref="H4:H5"/>
  </mergeCells>
  <pageMargins left="0.7" right="0.7" top="0.75" bottom="0.75" header="0.3" footer="0.3"/>
  <pageSetup scale="90" orientation="portrait" horizontalDpi="1200" verticalDpi="1200" r:id="rId1"/>
  <headerFooter>
    <oddFooter>&amp;L&amp;"Calibri,Regular"&amp;8ES102011123831RDD&amp;R&amp;"Calibri,Regular"&amp;8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view="pageBreakPreview" zoomScaleNormal="100" zoomScaleSheetLayoutView="100" workbookViewId="0">
      <pane xSplit="1" ySplit="4" topLeftCell="B20" activePane="bottomRight" state="frozen"/>
      <selection pane="topRight" activeCell="B1" sqref="B1"/>
      <selection pane="bottomLeft" activeCell="A5" sqref="A5"/>
      <selection pane="bottomRight" activeCell="E30" sqref="E30"/>
    </sheetView>
  </sheetViews>
  <sheetFormatPr defaultColWidth="9.109375" defaultRowHeight="12" x14ac:dyDescent="0.25"/>
  <cols>
    <col min="1" max="1" width="15.44140625" style="76" customWidth="1"/>
    <col min="2" max="2" width="8.33203125" style="76" customWidth="1"/>
    <col min="3" max="3" width="9.6640625" style="76" customWidth="1"/>
    <col min="4" max="4" width="7.44140625" style="76" customWidth="1"/>
    <col min="5" max="5" width="23" style="76" customWidth="1"/>
    <col min="6" max="6" width="15.5546875" style="76" customWidth="1"/>
    <col min="7" max="7" width="17" style="76" customWidth="1"/>
    <col min="8" max="8" width="8.88671875" style="76" customWidth="1"/>
    <col min="9" max="9" width="8.109375" style="76" customWidth="1"/>
    <col min="10" max="10" width="8.88671875" style="76" customWidth="1"/>
    <col min="11" max="11" width="10.44140625" style="76" customWidth="1"/>
    <col min="12" max="12" width="16.109375" style="76" customWidth="1"/>
    <col min="13" max="16384" width="9.109375" style="76"/>
  </cols>
  <sheetData>
    <row r="1" spans="1:15" s="131" customFormat="1" ht="13.8" x14ac:dyDescent="0.3">
      <c r="A1" s="90" t="s">
        <v>269</v>
      </c>
      <c r="B1" s="90"/>
      <c r="C1" s="129"/>
      <c r="D1" s="129"/>
      <c r="E1" s="129"/>
      <c r="F1" s="130"/>
      <c r="G1" s="130"/>
      <c r="H1" s="130"/>
      <c r="I1" s="130"/>
      <c r="J1" s="130"/>
      <c r="K1" s="130"/>
      <c r="L1" s="130"/>
    </row>
    <row r="2" spans="1:15" s="131" customFormat="1" ht="13.8" x14ac:dyDescent="0.3">
      <c r="A2" s="91" t="s">
        <v>0</v>
      </c>
      <c r="B2" s="91"/>
      <c r="C2" s="129"/>
      <c r="D2" s="129"/>
      <c r="E2" s="129"/>
      <c r="F2" s="130"/>
      <c r="G2" s="130"/>
      <c r="H2" s="130"/>
      <c r="I2" s="130"/>
      <c r="J2" s="130"/>
      <c r="K2" s="130"/>
      <c r="L2" s="130"/>
    </row>
    <row r="3" spans="1:15" ht="3" customHeight="1" x14ac:dyDescent="0.25">
      <c r="A3" s="60"/>
      <c r="B3" s="60"/>
      <c r="C3" s="77"/>
      <c r="D3" s="62"/>
      <c r="E3" s="62"/>
      <c r="F3" s="62"/>
      <c r="G3" s="62"/>
      <c r="H3" s="62"/>
      <c r="I3" s="62"/>
      <c r="J3" s="62"/>
      <c r="K3" s="62"/>
      <c r="L3" s="62"/>
    </row>
    <row r="4" spans="1:15" s="100" customFormat="1" ht="38.4" customHeight="1" x14ac:dyDescent="0.25">
      <c r="A4" s="108" t="s">
        <v>570</v>
      </c>
      <c r="B4" s="108" t="s">
        <v>536</v>
      </c>
      <c r="C4" s="108" t="s">
        <v>537</v>
      </c>
      <c r="D4" s="108" t="s">
        <v>538</v>
      </c>
      <c r="E4" s="108" t="s">
        <v>196</v>
      </c>
      <c r="F4" s="108" t="s">
        <v>183</v>
      </c>
      <c r="G4" s="108" t="s">
        <v>197</v>
      </c>
      <c r="H4" s="108" t="s">
        <v>203</v>
      </c>
      <c r="I4" s="108" t="s">
        <v>204</v>
      </c>
      <c r="J4" s="108" t="s">
        <v>130</v>
      </c>
      <c r="K4" s="108" t="s">
        <v>131</v>
      </c>
      <c r="L4" s="149" t="s">
        <v>202</v>
      </c>
      <c r="M4" s="149" t="s">
        <v>181</v>
      </c>
    </row>
    <row r="5" spans="1:15" s="115" customFormat="1" ht="15" customHeight="1" x14ac:dyDescent="0.3">
      <c r="A5" s="164" t="s">
        <v>571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3"/>
      <c r="M5" s="163"/>
    </row>
    <row r="6" spans="1:15" s="100" customFormat="1" ht="27.9" customHeight="1" x14ac:dyDescent="0.25">
      <c r="A6" s="143" t="s">
        <v>127</v>
      </c>
      <c r="B6" s="150">
        <f>INDEX(construct!$D$2:$R$10,MATCH('3_ATsummary'!$A6,construct!$A$2:$A$10,0),MATCH('3_ATsummary'!B$4,construct!$D$1:$R$1,0))</f>
        <v>5.4864000000000006</v>
      </c>
      <c r="C6" s="150" t="str">
        <f>INDEX(construct!$D$2:$R$10,MATCH('3_ATsummary'!$A6,construct!$A$2:$A$10,0),MATCH('3_ATsummary'!C$4,construct!$D$1:$R$1,0))</f>
        <v>2.44 to 5.49</v>
      </c>
      <c r="D6" s="150">
        <f>INDEX(construct!$D$2:$R$10,MATCH('3_ATsummary'!$A6,construct!$A$2:$A$10,0),MATCH('3_ATsummary'!D$4,construct!$D$1:$R$1,0))</f>
        <v>4</v>
      </c>
      <c r="E6" s="166" t="str">
        <f>INDEX(construct!$D$2:$R$10,MATCH('3_ATsummary'!$A6,construct!$A$2:$A$10,0),MATCH('3_ATsummary'!E$4,construct!$D$1:$R$1,0))</f>
        <v>Alluvium (Gravel with Sand)</v>
      </c>
      <c r="F6" s="166" t="s">
        <v>187</v>
      </c>
      <c r="G6" s="168" t="s">
        <v>219</v>
      </c>
      <c r="I6" s="143"/>
      <c r="J6" s="143"/>
      <c r="K6" s="143"/>
    </row>
    <row r="7" spans="1:15" s="100" customFormat="1" x14ac:dyDescent="0.25">
      <c r="A7" s="151" t="s">
        <v>155</v>
      </c>
      <c r="B7" s="152">
        <f>INDEX(construct!$D$2:$R$10,MATCH('3_ATsummary'!$A7,construct!$A$2:$A$10,0),MATCH('3_ATsummary'!B$4,construct!$D$1:$R$1,0))</f>
        <v>10.515600000000001</v>
      </c>
      <c r="C7" s="152" t="str">
        <f>INDEX(construct!$D$2:$R$10,MATCH('3_ATsummary'!$A7,construct!$A$2:$A$10,0),MATCH('3_ATsummary'!C$4,construct!$D$1:$R$1,0))</f>
        <v>7.47 to 10.52</v>
      </c>
      <c r="D7" s="152">
        <f>INDEX(construct!$D$2:$R$10,MATCH('3_ATsummary'!$A7,construct!$A$2:$A$10,0),MATCH('3_ATsummary'!D$4,construct!$D$1:$R$1,0))</f>
        <v>3.05</v>
      </c>
      <c r="E7" s="167" t="s">
        <v>156</v>
      </c>
      <c r="F7" s="167" t="s">
        <v>186</v>
      </c>
      <c r="G7" s="174"/>
      <c r="H7" s="80"/>
      <c r="I7" s="80"/>
      <c r="J7" s="80"/>
      <c r="K7" s="80"/>
    </row>
    <row r="8" spans="1:15" s="100" customFormat="1" ht="15" customHeight="1" x14ac:dyDescent="0.25">
      <c r="A8" s="143" t="s">
        <v>134</v>
      </c>
      <c r="B8" s="150">
        <f>INDEX(construct!$D$2:$R$10,MATCH('3_ATsummary'!$A8,construct!$A$2:$A$10,0),MATCH('3_ATsummary'!B$4,construct!$D$1:$R$1,0))</f>
        <v>9.1440000000000001</v>
      </c>
      <c r="C8" s="79" t="s">
        <v>137</v>
      </c>
      <c r="D8" s="150">
        <f>INDEX(construct!$D$2:$R$10,MATCH('3_ATsummary'!$A8,construct!$A$2:$A$10,0),MATCH('3_ATsummary'!D$4,construct!$D$1:$R$1,0))</f>
        <v>15.1</v>
      </c>
      <c r="E8" s="166" t="str">
        <f>INDEX(construct!$D$2:$R$10,MATCH('3_ATsummary'!$A8,construct!$A$2:$A$10,0),MATCH('3_ATsummary'!E$4,construct!$D$1:$R$1,0))</f>
        <v>Alluvium (Sand and Gravel)</v>
      </c>
      <c r="F8" s="166" t="s">
        <v>185</v>
      </c>
      <c r="G8" s="168" t="s">
        <v>128</v>
      </c>
      <c r="H8" s="79">
        <v>0.05</v>
      </c>
      <c r="I8" s="86">
        <v>30</v>
      </c>
      <c r="J8" s="79">
        <v>0.371</v>
      </c>
      <c r="K8" s="79">
        <f>H8/J8</f>
        <v>0.13477088948787064</v>
      </c>
      <c r="O8" s="153">
        <f>SUM(I$8:I8)</f>
        <v>30</v>
      </c>
    </row>
    <row r="9" spans="1:15" s="100" customFormat="1" ht="15" customHeight="1" x14ac:dyDescent="0.25">
      <c r="A9" s="143"/>
      <c r="B9" s="143"/>
      <c r="C9" s="143"/>
      <c r="D9" s="143"/>
      <c r="E9" s="168"/>
      <c r="F9" s="168"/>
      <c r="G9" s="168" t="s">
        <v>129</v>
      </c>
      <c r="H9" s="79">
        <v>0.1</v>
      </c>
      <c r="I9" s="86">
        <v>30</v>
      </c>
      <c r="J9" s="79">
        <v>0.85699999999999998</v>
      </c>
      <c r="K9" s="79">
        <f t="shared" ref="K9:K12" si="0">H9/J9</f>
        <v>0.11668611435239207</v>
      </c>
      <c r="O9" s="153">
        <f>SUM(I$8:I9)</f>
        <v>60</v>
      </c>
    </row>
    <row r="10" spans="1:15" s="100" customFormat="1" ht="15" customHeight="1" x14ac:dyDescent="0.25">
      <c r="A10" s="143"/>
      <c r="B10" s="143"/>
      <c r="C10" s="143"/>
      <c r="D10" s="143"/>
      <c r="E10" s="168"/>
      <c r="F10" s="168"/>
      <c r="G10" s="168" t="s">
        <v>132</v>
      </c>
      <c r="H10" s="79">
        <v>0.13</v>
      </c>
      <c r="I10" s="86">
        <v>22</v>
      </c>
      <c r="J10" s="79">
        <v>1.125</v>
      </c>
      <c r="K10" s="79">
        <f t="shared" si="0"/>
        <v>0.11555555555555556</v>
      </c>
      <c r="O10" s="153">
        <f>SUM(I$8:I10)</f>
        <v>82</v>
      </c>
    </row>
    <row r="11" spans="1:15" s="100" customFormat="1" ht="15" customHeight="1" x14ac:dyDescent="0.25">
      <c r="A11" s="143"/>
      <c r="B11" s="143"/>
      <c r="C11" s="143"/>
      <c r="D11" s="143"/>
      <c r="E11" s="168"/>
      <c r="F11" s="168"/>
      <c r="G11" s="168" t="s">
        <v>133</v>
      </c>
      <c r="H11" s="79">
        <v>0.17</v>
      </c>
      <c r="I11" s="86">
        <v>21</v>
      </c>
      <c r="J11" s="79">
        <v>1.4350000000000001</v>
      </c>
      <c r="K11" s="79">
        <f t="shared" si="0"/>
        <v>0.11846689895470383</v>
      </c>
      <c r="O11" s="153">
        <f>SUM(I$8:I11)</f>
        <v>103</v>
      </c>
    </row>
    <row r="12" spans="1:15" s="100" customFormat="1" ht="15" customHeight="1" x14ac:dyDescent="0.25">
      <c r="A12" s="143"/>
      <c r="B12" s="143"/>
      <c r="C12" s="143"/>
      <c r="D12" s="143"/>
      <c r="E12" s="168"/>
      <c r="F12" s="168"/>
      <c r="G12" s="175" t="s">
        <v>539</v>
      </c>
      <c r="H12" s="79">
        <v>0.13</v>
      </c>
      <c r="I12" s="86">
        <v>480</v>
      </c>
      <c r="J12" s="79">
        <v>1.345</v>
      </c>
      <c r="K12" s="79">
        <f t="shared" si="0"/>
        <v>9.6654275092936809E-2</v>
      </c>
      <c r="O12" s="154">
        <f>I12/60</f>
        <v>8</v>
      </c>
    </row>
    <row r="13" spans="1:15" s="115" customFormat="1" ht="15" customHeight="1" x14ac:dyDescent="0.3">
      <c r="A13" s="164" t="s">
        <v>569</v>
      </c>
      <c r="B13" s="164"/>
      <c r="C13" s="164"/>
      <c r="D13" s="164"/>
      <c r="E13" s="164" t="s">
        <v>153</v>
      </c>
      <c r="F13" s="164"/>
      <c r="G13" s="164"/>
      <c r="H13" s="164"/>
      <c r="I13" s="164"/>
      <c r="J13" s="164"/>
      <c r="K13" s="164"/>
    </row>
    <row r="14" spans="1:15" s="100" customFormat="1" ht="27.9" customHeight="1" x14ac:dyDescent="0.25">
      <c r="A14" s="143" t="s">
        <v>136</v>
      </c>
      <c r="B14" s="150">
        <f>INDEX(construct!$D$2:$R$10,MATCH('3_ATsummary'!$A14,construct!$A$2:$A$10,0),MATCH('3_ATsummary'!B$4,construct!$D$1:$R$1,0))</f>
        <v>10.363200000000001</v>
      </c>
      <c r="C14" s="150" t="str">
        <f>INDEX(construct!$D$2:$R$10,MATCH('3_ATsummary'!$A14,construct!$A$2:$A$10,0),MATCH('3_ATsummary'!C$4,construct!$D$1:$R$1,0))</f>
        <v>7.32 to 10.36</v>
      </c>
      <c r="D14" s="150" t="str">
        <f>INDEX(construct!$D$2:$R$10,MATCH('3_ATsummary'!$A14,construct!$A$2:$A$10,0),MATCH('3_ATsummary'!D$4,construct!$D$1:$R$1,0))</f>
        <v>&gt; 10.5</v>
      </c>
      <c r="E14" s="166" t="str">
        <f>INDEX(construct!$D$2:$R$10,MATCH('3_ATsummary'!$A14,construct!$A$2:$A$10,0),MATCH('3_ATsummary'!E$4,construct!$D$1:$R$1,0))</f>
        <v>Alluvium (Sand with Gravel)</v>
      </c>
      <c r="F14" s="166" t="s">
        <v>184</v>
      </c>
      <c r="G14" s="168" t="s">
        <v>219</v>
      </c>
      <c r="H14" s="143"/>
      <c r="I14" s="143"/>
      <c r="J14" s="79"/>
      <c r="K14" s="79"/>
    </row>
    <row r="15" spans="1:15" s="100" customFormat="1" ht="27.9" customHeight="1" x14ac:dyDescent="0.25">
      <c r="A15" s="143" t="s">
        <v>138</v>
      </c>
      <c r="B15" s="150">
        <f>INDEX(construct!$D$2:$R$10,MATCH('3_ATsummary'!$A15,construct!$A$2:$A$10,0),MATCH('3_ATsummary'!B$4,construct!$D$1:$R$1,0))</f>
        <v>14.9352</v>
      </c>
      <c r="C15" s="150" t="str">
        <f>INDEX(construct!$D$2:$R$10,MATCH('3_ATsummary'!$A15,construct!$A$2:$A$10,0),MATCH('3_ATsummary'!C$4,construct!$D$1:$R$1,0))</f>
        <v>8.84 to 14.94</v>
      </c>
      <c r="D15" s="150" t="str">
        <f>INDEX(construct!$D$2:$R$10,MATCH('3_ATsummary'!$A15,construct!$A$2:$A$10,0),MATCH('3_ATsummary'!D$4,construct!$D$1:$R$1,0))</f>
        <v>&gt; 14.9</v>
      </c>
      <c r="E15" s="166" t="str">
        <f>INDEX(construct!$D$2:$R$10,MATCH('3_ATsummary'!$A15,construct!$A$2:$A$10,0),MATCH('3_ATsummary'!E$4,construct!$D$1:$R$1,0))</f>
        <v>Sandy Silt</v>
      </c>
      <c r="F15" s="166" t="s">
        <v>184</v>
      </c>
      <c r="G15" s="168" t="s">
        <v>219</v>
      </c>
      <c r="H15" s="143"/>
      <c r="I15" s="143"/>
      <c r="J15" s="79"/>
      <c r="K15" s="79"/>
    </row>
    <row r="16" spans="1:15" s="100" customFormat="1" ht="27.9" customHeight="1" x14ac:dyDescent="0.25">
      <c r="A16" s="143" t="s">
        <v>139</v>
      </c>
      <c r="B16" s="150">
        <f>INDEX(construct!$D$2:$R$10,MATCH('3_ATsummary'!$A16,construct!$A$2:$A$10,0),MATCH('3_ATsummary'!B$4,construct!$D$1:$R$1,0))</f>
        <v>13.716000000000001</v>
      </c>
      <c r="C16" s="150" t="str">
        <f>INDEX(construct!$D$2:$R$10,MATCH('3_ATsummary'!$A16,construct!$A$2:$A$10,0),MATCH('3_ATsummary'!C$4,construct!$D$1:$R$1,0))</f>
        <v>10.67 to 13.72</v>
      </c>
      <c r="D16" s="150" t="str">
        <f>INDEX(construct!$D$2:$R$10,MATCH('3_ATsummary'!$A16,construct!$A$2:$A$10,0),MATCH('3_ATsummary'!D$4,construct!$D$1:$R$1,0))</f>
        <v xml:space="preserve"> &gt; 29.1</v>
      </c>
      <c r="E16" s="166" t="str">
        <f>INDEX(construct!$D$2:$R$10,MATCH('3_ATsummary'!$A16,construct!$A$2:$A$10,0),MATCH('3_ATsummary'!E$4,construct!$D$1:$R$1,0))</f>
        <v>Alluvium (Sand with Gravel and Silt)</v>
      </c>
      <c r="F16" s="166" t="s">
        <v>187</v>
      </c>
      <c r="G16" s="168" t="s">
        <v>140</v>
      </c>
      <c r="I16" s="143"/>
      <c r="J16" s="79"/>
      <c r="K16" s="79"/>
    </row>
    <row r="17" spans="1:15" s="115" customFormat="1" ht="15" customHeight="1" x14ac:dyDescent="0.3">
      <c r="A17" s="164" t="s">
        <v>217</v>
      </c>
      <c r="B17" s="164"/>
      <c r="C17" s="164"/>
      <c r="D17" s="164"/>
      <c r="E17" s="164" t="s">
        <v>153</v>
      </c>
      <c r="F17" s="164"/>
      <c r="G17" s="164"/>
      <c r="H17" s="164"/>
      <c r="I17" s="164"/>
      <c r="J17" s="164"/>
      <c r="K17" s="164"/>
    </row>
    <row r="18" spans="1:15" s="100" customFormat="1" x14ac:dyDescent="0.25">
      <c r="A18" s="159" t="s">
        <v>142</v>
      </c>
      <c r="B18" s="160">
        <f>INDEX(construct!$D$2:$R$10,MATCH('3_ATsummary'!$A18,construct!$A$2:$A$10,0),MATCH('3_ATsummary'!B$4,construct!$D$1:$R$1,0))</f>
        <v>5.9740800000000007</v>
      </c>
      <c r="C18" s="160" t="str">
        <f>INDEX(construct!$D$2:$R$10,MATCH('3_ATsummary'!$A18,construct!$A$2:$A$10,0),MATCH('3_ATsummary'!C$4,construct!$D$1:$R$1,0))</f>
        <v>2.93 to 5.97</v>
      </c>
      <c r="D18" s="160" t="str">
        <f>INDEX(construct!$D$2:$R$10,MATCH('3_ATsummary'!$A18,construct!$A$2:$A$10,0),MATCH('3_ATsummary'!D$4,construct!$D$1:$R$1,0))</f>
        <v>&gt; 6.25</v>
      </c>
      <c r="E18" s="169" t="str">
        <f>INDEX(construct!$D$2:$R$10,MATCH('3_ATsummary'!$A18,construct!$A$2:$A$10,0),MATCH('3_ATsummary'!E$4,construct!$D$1:$R$1,0))</f>
        <v>Alluvium (Gravel with Sand)</v>
      </c>
      <c r="F18" s="169" t="s">
        <v>165</v>
      </c>
      <c r="G18" s="176" t="s">
        <v>128</v>
      </c>
      <c r="H18" s="159">
        <v>0.1</v>
      </c>
      <c r="I18" s="161">
        <v>30</v>
      </c>
      <c r="J18" s="162">
        <v>0.62</v>
      </c>
      <c r="K18" s="162">
        <f t="shared" ref="K18:K22" si="1">H18/J18</f>
        <v>0.16129032258064518</v>
      </c>
      <c r="N18" s="100">
        <v>30</v>
      </c>
    </row>
    <row r="19" spans="1:15" s="100" customFormat="1" ht="15" customHeight="1" x14ac:dyDescent="0.25">
      <c r="A19" s="143"/>
      <c r="B19" s="143"/>
      <c r="C19" s="143"/>
      <c r="D19" s="143"/>
      <c r="E19" s="168"/>
      <c r="F19" s="168"/>
      <c r="G19" s="168" t="s">
        <v>129</v>
      </c>
      <c r="H19" s="143">
        <v>0.12</v>
      </c>
      <c r="I19" s="86">
        <f>N19-N18</f>
        <v>12</v>
      </c>
      <c r="J19" s="79">
        <v>0.74</v>
      </c>
      <c r="K19" s="79">
        <f t="shared" si="1"/>
        <v>0.16216216216216217</v>
      </c>
      <c r="N19" s="100">
        <v>42</v>
      </c>
      <c r="O19" s="153">
        <f>SUM(I$18:I19)</f>
        <v>42</v>
      </c>
    </row>
    <row r="20" spans="1:15" s="100" customFormat="1" ht="15" customHeight="1" x14ac:dyDescent="0.25">
      <c r="A20" s="143"/>
      <c r="B20" s="143"/>
      <c r="C20" s="143"/>
      <c r="D20" s="143"/>
      <c r="E20" s="168"/>
      <c r="F20" s="168"/>
      <c r="G20" s="168" t="s">
        <v>132</v>
      </c>
      <c r="H20" s="143">
        <v>0.16</v>
      </c>
      <c r="I20" s="86">
        <f>N20-N19</f>
        <v>21</v>
      </c>
      <c r="J20" s="79">
        <v>0.95</v>
      </c>
      <c r="K20" s="79">
        <f t="shared" si="1"/>
        <v>0.16842105263157897</v>
      </c>
      <c r="N20" s="100">
        <v>63</v>
      </c>
      <c r="O20" s="153">
        <f>SUM(I$18:I20)</f>
        <v>63</v>
      </c>
    </row>
    <row r="21" spans="1:15" s="100" customFormat="1" ht="15" customHeight="1" x14ac:dyDescent="0.25">
      <c r="A21" s="155"/>
      <c r="B21" s="79"/>
      <c r="C21" s="79"/>
      <c r="D21" s="79"/>
      <c r="E21" s="170"/>
      <c r="F21" s="170"/>
      <c r="G21" s="168" t="s">
        <v>133</v>
      </c>
      <c r="H21" s="79">
        <v>0.21</v>
      </c>
      <c r="I21" s="86">
        <f>N21-N20</f>
        <v>28</v>
      </c>
      <c r="J21" s="79">
        <v>1.26</v>
      </c>
      <c r="K21" s="79">
        <f t="shared" si="1"/>
        <v>0.16666666666666666</v>
      </c>
      <c r="N21" s="100">
        <v>91</v>
      </c>
      <c r="O21" s="153">
        <f>SUM(I$18:I21)</f>
        <v>91</v>
      </c>
    </row>
    <row r="22" spans="1:15" s="100" customFormat="1" ht="15" customHeight="1" x14ac:dyDescent="0.25">
      <c r="A22" s="156"/>
      <c r="B22" s="156"/>
      <c r="C22" s="156"/>
      <c r="D22" s="156"/>
      <c r="E22" s="171"/>
      <c r="F22" s="171"/>
      <c r="G22" s="177" t="s">
        <v>539</v>
      </c>
      <c r="H22" s="81">
        <v>0.25</v>
      </c>
      <c r="I22" s="86">
        <v>482</v>
      </c>
      <c r="J22" s="81">
        <v>1.84</v>
      </c>
      <c r="K22" s="81">
        <f t="shared" si="1"/>
        <v>0.1358695652173913</v>
      </c>
    </row>
    <row r="23" spans="1:15" s="100" customFormat="1" ht="15" customHeight="1" x14ac:dyDescent="0.25">
      <c r="A23" s="151" t="s">
        <v>162</v>
      </c>
      <c r="B23" s="152">
        <f>INDEX(construct!$D$2:$R$10,MATCH('3_ATsummary'!$A23,construct!$A$2:$A$10,0),MATCH('3_ATsummary'!B$4,construct!$D$1:$R$1,0))</f>
        <v>6.0960000000000001</v>
      </c>
      <c r="C23" s="152" t="str">
        <f>INDEX(construct!$D$2:$R$10,MATCH('3_ATsummary'!$A23,construct!$A$2:$A$10,0),MATCH('3_ATsummary'!C$4,construct!$D$1:$R$1,0))</f>
        <v>3.05 to 6.1</v>
      </c>
      <c r="D23" s="152" t="str">
        <f>INDEX(construct!$D$2:$R$10,MATCH('3_ATsummary'!$A23,construct!$A$2:$A$10,0),MATCH('3_ATsummary'!D$4,construct!$D$1:$R$1,0))</f>
        <v>&gt; 6.5</v>
      </c>
      <c r="E23" s="172" t="str">
        <f>INDEX(construct!$D$2:$R$10,MATCH('3_ATsummary'!$A23,construct!$A$2:$A$10,0),MATCH('3_ATsummary'!E$4,construct!$D$1:$R$1,0))</f>
        <v>Alluvium (Gravel with Sand)</v>
      </c>
      <c r="F23" s="167" t="s">
        <v>186</v>
      </c>
      <c r="G23" s="177" t="s">
        <v>539</v>
      </c>
      <c r="H23" s="80"/>
      <c r="I23" s="80"/>
      <c r="J23" s="80"/>
      <c r="K23" s="80"/>
    </row>
    <row r="24" spans="1:15" s="100" customFormat="1" ht="15" customHeight="1" x14ac:dyDescent="0.25">
      <c r="A24" s="151" t="s">
        <v>167</v>
      </c>
      <c r="B24" s="158">
        <f>INDEX(construct!$D$2:$R$10,MATCH('3_ATsummary'!$A24,construct!$A$2:$A$10,0),MATCH('3_ATsummary'!B$4,construct!$D$1:$R$1,0))</f>
        <v>6.0960000000000001</v>
      </c>
      <c r="C24" s="158" t="str">
        <f>INDEX(construct!$D$2:$R$10,MATCH('3_ATsummary'!$A24,construct!$A$2:$A$10,0),MATCH('3_ATsummary'!C$4,construct!$D$1:$R$1,0))</f>
        <v>3.05 to 6.1</v>
      </c>
      <c r="D24" s="158" t="str">
        <f>INDEX(construct!$D$2:$R$10,MATCH('3_ATsummary'!$A24,construct!$A$2:$A$10,0),MATCH('3_ATsummary'!D$4,construct!$D$1:$R$1,0))</f>
        <v>&gt; 6.10</v>
      </c>
      <c r="E24" s="173" t="str">
        <f>INDEX(construct!$D$2:$R$10,MATCH('3_ATsummary'!$A24,construct!$A$2:$A$10,0),MATCH('3_ATsummary'!E$4,construct!$D$1:$R$1,0))</f>
        <v>Alluvium (Gravel with Sand)</v>
      </c>
      <c r="F24" s="167" t="s">
        <v>186</v>
      </c>
      <c r="G24" s="177" t="s">
        <v>539</v>
      </c>
      <c r="H24" s="82"/>
      <c r="I24" s="82"/>
      <c r="J24" s="82"/>
      <c r="K24" s="82"/>
    </row>
    <row r="25" spans="1:15" x14ac:dyDescent="0.25">
      <c r="A25" s="76" t="s">
        <v>64</v>
      </c>
      <c r="B25" s="30"/>
      <c r="C25" s="66"/>
      <c r="D25" s="66"/>
      <c r="E25" s="66"/>
      <c r="F25" s="66"/>
      <c r="G25" s="66"/>
      <c r="H25" s="147"/>
      <c r="I25" s="147"/>
      <c r="J25" s="66"/>
      <c r="K25" s="66"/>
      <c r="L25" s="66"/>
    </row>
    <row r="26" spans="1:15" x14ac:dyDescent="0.25">
      <c r="A26" s="165" t="s">
        <v>114</v>
      </c>
      <c r="B26" s="30"/>
      <c r="C26" s="66"/>
      <c r="D26" s="66"/>
      <c r="E26" s="66"/>
      <c r="F26" s="66"/>
      <c r="G26" s="66"/>
      <c r="H26" s="147"/>
      <c r="I26" s="147"/>
      <c r="J26" s="66"/>
      <c r="K26" s="66"/>
      <c r="L26" s="66"/>
    </row>
    <row r="27" spans="1:15" x14ac:dyDescent="0.25">
      <c r="A27" s="165" t="s">
        <v>113</v>
      </c>
    </row>
    <row r="28" spans="1:15" x14ac:dyDescent="0.25">
      <c r="A28" s="165" t="s">
        <v>115</v>
      </c>
    </row>
    <row r="29" spans="1:15" x14ac:dyDescent="0.25">
      <c r="A29" s="165" t="s">
        <v>559</v>
      </c>
    </row>
    <row r="30" spans="1:15" x14ac:dyDescent="0.25">
      <c r="A30" s="165" t="s">
        <v>535</v>
      </c>
    </row>
    <row r="31" spans="1:15" x14ac:dyDescent="0.25">
      <c r="A31" s="165" t="s">
        <v>112</v>
      </c>
    </row>
    <row r="32" spans="1:15" x14ac:dyDescent="0.25">
      <c r="A32" s="165" t="s">
        <v>116</v>
      </c>
    </row>
    <row r="33" spans="1:1" x14ac:dyDescent="0.25">
      <c r="A33" s="165" t="s">
        <v>111</v>
      </c>
    </row>
    <row r="34" spans="1:1" x14ac:dyDescent="0.25">
      <c r="A34" s="165" t="s">
        <v>110</v>
      </c>
    </row>
    <row r="35" spans="1:1" x14ac:dyDescent="0.25">
      <c r="A35" s="165" t="s">
        <v>109</v>
      </c>
    </row>
    <row r="36" spans="1:1" x14ac:dyDescent="0.25">
      <c r="A36" s="165" t="s">
        <v>108</v>
      </c>
    </row>
  </sheetData>
  <pageMargins left="0.7" right="0.7" top="0.75" bottom="0.75" header="0.3" footer="0.3"/>
  <pageSetup scale="90" orientation="landscape" horizontalDpi="1200" verticalDpi="1200" r:id="rId1"/>
  <headerFooter>
    <oddFooter>&amp;L&amp;"Calibri,Regular"&amp;8ES102011123831RDD&amp;R&amp;"Calibri,Regular"&amp;8&amp;P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view="pageBreakPreview" zoomScaleNormal="55" zoomScaleSheetLayoutView="100" workbookViewId="0">
      <pane xSplit="1" ySplit="4" topLeftCell="B56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09375" defaultRowHeight="12" x14ac:dyDescent="0.25"/>
  <cols>
    <col min="1" max="1" width="7.6640625" style="5" customWidth="1"/>
    <col min="2" max="8" width="9.44140625" style="5" customWidth="1"/>
    <col min="9" max="9" width="15.5546875" style="203" customWidth="1"/>
    <col min="10" max="14" width="9.109375" style="5"/>
    <col min="15" max="15" width="24.109375" style="5" customWidth="1"/>
    <col min="16" max="16" width="13.88671875" style="5" customWidth="1"/>
    <col min="17" max="16384" width="9.109375" style="5"/>
  </cols>
  <sheetData>
    <row r="1" spans="1:12" s="12" customFormat="1" ht="13.8" x14ac:dyDescent="0.3">
      <c r="A1" s="90" t="s">
        <v>572</v>
      </c>
      <c r="I1" s="202"/>
    </row>
    <row r="2" spans="1:12" s="12" customFormat="1" ht="13.8" x14ac:dyDescent="0.3">
      <c r="A2" s="196" t="s">
        <v>0</v>
      </c>
      <c r="I2" s="202"/>
    </row>
    <row r="3" spans="1:12" ht="6" customHeight="1" x14ac:dyDescent="0.25">
      <c r="A3" s="178"/>
    </row>
    <row r="4" spans="1:12" ht="28.5" customHeight="1" x14ac:dyDescent="0.25">
      <c r="A4" s="200" t="s">
        <v>220</v>
      </c>
      <c r="B4" s="200" t="s">
        <v>577</v>
      </c>
      <c r="C4" s="200" t="s">
        <v>578</v>
      </c>
      <c r="D4" s="200" t="s">
        <v>575</v>
      </c>
      <c r="E4" s="200" t="s">
        <v>579</v>
      </c>
      <c r="F4" s="200" t="s">
        <v>576</v>
      </c>
      <c r="G4" s="201" t="s">
        <v>580</v>
      </c>
      <c r="H4" s="200" t="s">
        <v>581</v>
      </c>
      <c r="I4" s="204" t="s">
        <v>582</v>
      </c>
    </row>
    <row r="5" spans="1:12" x14ac:dyDescent="0.25">
      <c r="A5" s="62" t="s">
        <v>230</v>
      </c>
    </row>
    <row r="6" spans="1:12" x14ac:dyDescent="0.25">
      <c r="A6" s="4">
        <v>0</v>
      </c>
      <c r="B6" s="4">
        <v>1</v>
      </c>
      <c r="C6" s="4">
        <v>0</v>
      </c>
      <c r="D6" s="122">
        <f>C6/3.281</f>
        <v>0</v>
      </c>
      <c r="E6" s="4">
        <v>0</v>
      </c>
      <c r="F6" s="181">
        <f>AVERAGE(D6:D7)*0.5*(B7-B6)</f>
        <v>6.0957025297165481E-3</v>
      </c>
      <c r="G6" s="182">
        <f>F6*0.5*E7</f>
        <v>3.0478512648582742E-5</v>
      </c>
      <c r="H6" s="122">
        <f>G6*1000</f>
        <v>3.0478512648582742E-2</v>
      </c>
      <c r="I6" s="203" t="s">
        <v>225</v>
      </c>
      <c r="L6" s="183">
        <f t="shared" ref="L6:L25" si="0">H6/$H$26</f>
        <v>7.779679477205535E-5</v>
      </c>
    </row>
    <row r="7" spans="1:12" x14ac:dyDescent="0.25">
      <c r="A7" s="4">
        <v>1</v>
      </c>
      <c r="B7" s="4">
        <v>1.2</v>
      </c>
      <c r="C7" s="4">
        <v>0.4</v>
      </c>
      <c r="D7" s="122">
        <f t="shared" ref="D7:D25" si="1">C7/3.281</f>
        <v>0.121914050594331</v>
      </c>
      <c r="E7" s="4">
        <v>0.01</v>
      </c>
      <c r="F7" s="181">
        <f>(0.5*(B7-B6)+0.5*(B8-B7))*D7</f>
        <v>2.4382810118866192E-2</v>
      </c>
      <c r="G7" s="184">
        <f>F7*E7</f>
        <v>2.4382810118866194E-4</v>
      </c>
      <c r="H7" s="122">
        <f t="shared" ref="H7:H25" si="2">G7*1000</f>
        <v>0.24382810118866194</v>
      </c>
      <c r="L7" s="183">
        <f t="shared" si="0"/>
        <v>6.223743581764428E-4</v>
      </c>
    </row>
    <row r="8" spans="1:12" x14ac:dyDescent="0.25">
      <c r="A8" s="4">
        <v>2</v>
      </c>
      <c r="B8" s="4">
        <f>B7+0.2</f>
        <v>1.4</v>
      </c>
      <c r="C8" s="4">
        <v>0.25</v>
      </c>
      <c r="D8" s="122">
        <f t="shared" si="1"/>
        <v>7.6196281621456863E-2</v>
      </c>
      <c r="E8" s="4">
        <v>0.08</v>
      </c>
      <c r="F8" s="181">
        <f t="shared" ref="F8:F23" si="3">(0.5*(B8-B7)+0.5*(B9-B8))*D8</f>
        <v>1.5239256324291369E-2</v>
      </c>
      <c r="G8" s="184">
        <f>F8*E8</f>
        <v>1.2191405059433097E-3</v>
      </c>
      <c r="H8" s="122">
        <f t="shared" si="2"/>
        <v>1.2191405059433096</v>
      </c>
      <c r="L8" s="183">
        <f t="shared" si="0"/>
        <v>3.1118717908822134E-3</v>
      </c>
    </row>
    <row r="9" spans="1:12" x14ac:dyDescent="0.25">
      <c r="A9" s="4">
        <v>3</v>
      </c>
      <c r="B9" s="4">
        <f t="shared" ref="B9:B24" si="4">B8+0.2</f>
        <v>1.5999999999999999</v>
      </c>
      <c r="C9" s="4">
        <v>0.4</v>
      </c>
      <c r="D9" s="122">
        <f t="shared" si="1"/>
        <v>0.121914050594331</v>
      </c>
      <c r="E9" s="4">
        <v>0.35</v>
      </c>
      <c r="F9" s="181">
        <f>(0.5*(B9-B8)+0.5*(B10-B9))*D9</f>
        <v>2.4382810118866192E-2</v>
      </c>
      <c r="G9" s="184">
        <f t="shared" ref="G9:G22" si="5">F9*E9</f>
        <v>8.533983541603167E-3</v>
      </c>
      <c r="H9" s="122">
        <f t="shared" si="2"/>
        <v>8.5339835416031669</v>
      </c>
      <c r="L9" s="183">
        <f t="shared" si="0"/>
        <v>2.1783102536175495E-2</v>
      </c>
    </row>
    <row r="10" spans="1:12" x14ac:dyDescent="0.25">
      <c r="A10" s="4">
        <v>4</v>
      </c>
      <c r="B10" s="4">
        <f t="shared" si="4"/>
        <v>1.7999999999999998</v>
      </c>
      <c r="C10" s="4">
        <v>0.45</v>
      </c>
      <c r="D10" s="122">
        <f t="shared" si="1"/>
        <v>0.13715330691862238</v>
      </c>
      <c r="E10" s="4">
        <v>0.26</v>
      </c>
      <c r="F10" s="181">
        <f t="shared" si="3"/>
        <v>2.7430661383724467E-2</v>
      </c>
      <c r="G10" s="184">
        <f>F10*E10</f>
        <v>7.131971959768362E-3</v>
      </c>
      <c r="H10" s="122">
        <f t="shared" si="2"/>
        <v>7.1319719597683617</v>
      </c>
      <c r="L10" s="183">
        <f t="shared" si="0"/>
        <v>1.8204449976660951E-2</v>
      </c>
    </row>
    <row r="11" spans="1:12" x14ac:dyDescent="0.25">
      <c r="A11" s="4">
        <v>5</v>
      </c>
      <c r="B11" s="4">
        <f t="shared" si="4"/>
        <v>1.9999999999999998</v>
      </c>
      <c r="C11" s="4">
        <v>0.35</v>
      </c>
      <c r="D11" s="122">
        <f t="shared" si="1"/>
        <v>0.10667479427003961</v>
      </c>
      <c r="E11" s="4">
        <v>0.34</v>
      </c>
      <c r="F11" s="181">
        <f t="shared" si="3"/>
        <v>2.1334958854007918E-2</v>
      </c>
      <c r="G11" s="184">
        <f t="shared" si="5"/>
        <v>7.2538860103626927E-3</v>
      </c>
      <c r="H11" s="122">
        <f t="shared" si="2"/>
        <v>7.2538860103626925</v>
      </c>
      <c r="L11" s="183">
        <f t="shared" si="0"/>
        <v>1.8515637155749172E-2</v>
      </c>
    </row>
    <row r="12" spans="1:12" x14ac:dyDescent="0.25">
      <c r="A12" s="4">
        <v>6</v>
      </c>
      <c r="B12" s="4">
        <f t="shared" si="4"/>
        <v>2.1999999999999997</v>
      </c>
      <c r="C12" s="4">
        <v>0.4</v>
      </c>
      <c r="D12" s="122">
        <f t="shared" si="1"/>
        <v>0.121914050594331</v>
      </c>
      <c r="E12" s="4">
        <v>0.36</v>
      </c>
      <c r="F12" s="181">
        <f t="shared" si="3"/>
        <v>2.4382810118866206E-2</v>
      </c>
      <c r="G12" s="184">
        <f t="shared" si="5"/>
        <v>8.7778116427918336E-3</v>
      </c>
      <c r="H12" s="122">
        <f t="shared" si="2"/>
        <v>8.7778116427918338</v>
      </c>
      <c r="L12" s="183">
        <f t="shared" si="0"/>
        <v>2.2405476894351951E-2</v>
      </c>
    </row>
    <row r="13" spans="1:12" x14ac:dyDescent="0.25">
      <c r="A13" s="4">
        <v>7</v>
      </c>
      <c r="B13" s="4">
        <f t="shared" si="4"/>
        <v>2.4</v>
      </c>
      <c r="C13" s="4">
        <v>0.35</v>
      </c>
      <c r="D13" s="122">
        <f t="shared" si="1"/>
        <v>0.10667479427003961</v>
      </c>
      <c r="E13" s="4">
        <v>0.59</v>
      </c>
      <c r="F13" s="181">
        <f t="shared" si="3"/>
        <v>2.1334958854007938E-2</v>
      </c>
      <c r="G13" s="184">
        <f t="shared" si="5"/>
        <v>1.2587625723864683E-2</v>
      </c>
      <c r="H13" s="122">
        <f t="shared" si="2"/>
        <v>12.587625723864683</v>
      </c>
      <c r="L13" s="183">
        <f t="shared" si="0"/>
        <v>3.2130076240858882E-2</v>
      </c>
    </row>
    <row r="14" spans="1:12" x14ac:dyDescent="0.25">
      <c r="A14" s="4">
        <v>8</v>
      </c>
      <c r="B14" s="4">
        <f t="shared" si="4"/>
        <v>2.6</v>
      </c>
      <c r="C14" s="4">
        <v>0.55000000000000004</v>
      </c>
      <c r="D14" s="122">
        <f t="shared" si="1"/>
        <v>0.16763181956720513</v>
      </c>
      <c r="E14" s="4">
        <v>0.14000000000000001</v>
      </c>
      <c r="F14" s="181">
        <f t="shared" si="3"/>
        <v>3.3526363913441055E-2</v>
      </c>
      <c r="G14" s="184">
        <f t="shared" si="5"/>
        <v>4.6936909478817483E-3</v>
      </c>
      <c r="H14" s="122">
        <f t="shared" si="2"/>
        <v>4.6936909478817483</v>
      </c>
      <c r="L14" s="183">
        <f t="shared" si="0"/>
        <v>1.1980706394896538E-2</v>
      </c>
    </row>
    <row r="15" spans="1:12" x14ac:dyDescent="0.25">
      <c r="A15" s="4">
        <v>9</v>
      </c>
      <c r="B15" s="4">
        <f t="shared" si="4"/>
        <v>2.8000000000000003</v>
      </c>
      <c r="C15" s="4">
        <v>0.6</v>
      </c>
      <c r="D15" s="122">
        <f t="shared" si="1"/>
        <v>0.18287107589149648</v>
      </c>
      <c r="E15" s="4">
        <v>0.61</v>
      </c>
      <c r="F15" s="181">
        <f t="shared" si="3"/>
        <v>3.6574215178299327E-2</v>
      </c>
      <c r="G15" s="184">
        <f t="shared" si="5"/>
        <v>2.2310271258762587E-2</v>
      </c>
      <c r="H15" s="122">
        <f t="shared" si="2"/>
        <v>22.310271258762587</v>
      </c>
      <c r="L15" s="183">
        <f t="shared" si="0"/>
        <v>5.6947253773144559E-2</v>
      </c>
    </row>
    <row r="16" spans="1:12" x14ac:dyDescent="0.25">
      <c r="A16" s="4">
        <v>10</v>
      </c>
      <c r="B16" s="4">
        <f t="shared" si="4"/>
        <v>3.0000000000000004</v>
      </c>
      <c r="C16" s="4">
        <v>0.6</v>
      </c>
      <c r="D16" s="122">
        <f t="shared" si="1"/>
        <v>0.18287107589149648</v>
      </c>
      <c r="E16" s="4">
        <v>0.81</v>
      </c>
      <c r="F16" s="181">
        <f t="shared" si="3"/>
        <v>3.6574215178299327E-2</v>
      </c>
      <c r="G16" s="184">
        <f t="shared" si="5"/>
        <v>2.9625114294422456E-2</v>
      </c>
      <c r="H16" s="122">
        <f t="shared" si="2"/>
        <v>29.625114294422456</v>
      </c>
      <c r="L16" s="183">
        <f t="shared" si="0"/>
        <v>7.5618484518437876E-2</v>
      </c>
    </row>
    <row r="17" spans="1:12" x14ac:dyDescent="0.25">
      <c r="A17" s="4">
        <v>11</v>
      </c>
      <c r="B17" s="4">
        <f t="shared" si="4"/>
        <v>3.2000000000000006</v>
      </c>
      <c r="C17" s="4">
        <v>0.65</v>
      </c>
      <c r="D17" s="122">
        <f t="shared" si="1"/>
        <v>0.19811033221578786</v>
      </c>
      <c r="E17" s="4">
        <v>0.66</v>
      </c>
      <c r="F17" s="181">
        <f t="shared" si="3"/>
        <v>3.9622066443157605E-2</v>
      </c>
      <c r="G17" s="184">
        <f t="shared" si="5"/>
        <v>2.6150563852484019E-2</v>
      </c>
      <c r="H17" s="122">
        <f t="shared" si="2"/>
        <v>26.150563852484019</v>
      </c>
      <c r="L17" s="183">
        <f t="shared" si="0"/>
        <v>6.6749649914423559E-2</v>
      </c>
    </row>
    <row r="18" spans="1:12" x14ac:dyDescent="0.25">
      <c r="A18" s="4">
        <v>12</v>
      </c>
      <c r="B18" s="4">
        <f t="shared" si="4"/>
        <v>3.4000000000000008</v>
      </c>
      <c r="C18" s="4">
        <v>0.8</v>
      </c>
      <c r="D18" s="122">
        <f t="shared" si="1"/>
        <v>0.24382810118866199</v>
      </c>
      <c r="E18" s="4">
        <v>0.76</v>
      </c>
      <c r="F18" s="181">
        <f t="shared" si="3"/>
        <v>4.876562023773244E-2</v>
      </c>
      <c r="G18" s="184">
        <f t="shared" si="5"/>
        <v>3.7061871380676653E-2</v>
      </c>
      <c r="H18" s="122">
        <f t="shared" si="2"/>
        <v>37.061871380676656</v>
      </c>
      <c r="L18" s="183">
        <f t="shared" si="0"/>
        <v>9.4600902442819407E-2</v>
      </c>
    </row>
    <row r="19" spans="1:12" x14ac:dyDescent="0.25">
      <c r="A19" s="4">
        <v>13</v>
      </c>
      <c r="B19" s="4">
        <f t="shared" si="4"/>
        <v>3.600000000000001</v>
      </c>
      <c r="C19" s="4">
        <v>0.9</v>
      </c>
      <c r="D19" s="122">
        <f t="shared" si="1"/>
        <v>0.27430661383724475</v>
      </c>
      <c r="E19" s="4">
        <v>0.95</v>
      </c>
      <c r="F19" s="181">
        <f t="shared" si="3"/>
        <v>5.4861322767448997E-2</v>
      </c>
      <c r="G19" s="184">
        <f t="shared" si="5"/>
        <v>5.2118256629076543E-2</v>
      </c>
      <c r="H19" s="122">
        <f t="shared" si="2"/>
        <v>52.118256629076541</v>
      </c>
      <c r="L19" s="183">
        <f t="shared" si="0"/>
        <v>0.13303251906021477</v>
      </c>
    </row>
    <row r="20" spans="1:12" x14ac:dyDescent="0.25">
      <c r="A20" s="4">
        <v>14</v>
      </c>
      <c r="B20" s="4">
        <f t="shared" si="4"/>
        <v>3.8000000000000012</v>
      </c>
      <c r="C20" s="4">
        <v>0.75</v>
      </c>
      <c r="D20" s="122">
        <f t="shared" si="1"/>
        <v>0.22858884486437062</v>
      </c>
      <c r="E20" s="4">
        <v>0.92</v>
      </c>
      <c r="F20" s="181">
        <f t="shared" si="3"/>
        <v>4.5717768972874114E-2</v>
      </c>
      <c r="G20" s="184">
        <f t="shared" si="5"/>
        <v>4.2060347455044188E-2</v>
      </c>
      <c r="H20" s="122">
        <f t="shared" si="2"/>
        <v>42.060347455044187</v>
      </c>
      <c r="L20" s="183">
        <f t="shared" si="0"/>
        <v>0.10735957678543638</v>
      </c>
    </row>
    <row r="21" spans="1:12" x14ac:dyDescent="0.25">
      <c r="A21" s="4">
        <v>15</v>
      </c>
      <c r="B21" s="4">
        <f t="shared" si="4"/>
        <v>4.0000000000000009</v>
      </c>
      <c r="C21" s="4">
        <v>0.8</v>
      </c>
      <c r="D21" s="122">
        <f t="shared" si="1"/>
        <v>0.24382810118866199</v>
      </c>
      <c r="E21" s="4">
        <v>1.17</v>
      </c>
      <c r="F21" s="181">
        <f t="shared" si="3"/>
        <v>4.8765620237732385E-2</v>
      </c>
      <c r="G21" s="184">
        <f t="shared" si="5"/>
        <v>5.7055775678146889E-2</v>
      </c>
      <c r="H21" s="122">
        <f t="shared" si="2"/>
        <v>57.055775678146887</v>
      </c>
      <c r="L21" s="183">
        <f t="shared" si="0"/>
        <v>0.14563559981328758</v>
      </c>
    </row>
    <row r="22" spans="1:12" x14ac:dyDescent="0.25">
      <c r="A22" s="4">
        <v>16</v>
      </c>
      <c r="B22" s="4">
        <f t="shared" si="4"/>
        <v>4.2000000000000011</v>
      </c>
      <c r="C22" s="4">
        <v>0.6</v>
      </c>
      <c r="D22" s="122">
        <f t="shared" si="1"/>
        <v>0.18287107589149648</v>
      </c>
      <c r="E22" s="4">
        <v>0.94</v>
      </c>
      <c r="F22" s="181">
        <f t="shared" si="3"/>
        <v>3.6574215178299327E-2</v>
      </c>
      <c r="G22" s="184">
        <f t="shared" si="5"/>
        <v>3.4379762267601366E-2</v>
      </c>
      <c r="H22" s="122">
        <f t="shared" si="2"/>
        <v>34.379762267601365</v>
      </c>
      <c r="L22" s="183">
        <f t="shared" si="0"/>
        <v>8.7754784502878505E-2</v>
      </c>
    </row>
    <row r="23" spans="1:12" x14ac:dyDescent="0.25">
      <c r="A23" s="4">
        <v>17</v>
      </c>
      <c r="B23" s="4">
        <f t="shared" si="4"/>
        <v>4.4000000000000012</v>
      </c>
      <c r="C23" s="4">
        <v>0.9</v>
      </c>
      <c r="D23" s="122">
        <f t="shared" si="1"/>
        <v>0.27430661383724475</v>
      </c>
      <c r="E23" s="4">
        <v>0.56000000000000005</v>
      </c>
      <c r="F23" s="181">
        <f t="shared" si="3"/>
        <v>5.4861322767448997E-2</v>
      </c>
      <c r="G23" s="184">
        <f>F23*E23</f>
        <v>3.072234074977144E-2</v>
      </c>
      <c r="H23" s="122">
        <f t="shared" si="2"/>
        <v>30.72234074977144</v>
      </c>
      <c r="L23" s="183">
        <f t="shared" si="0"/>
        <v>7.8419169130231878E-2</v>
      </c>
    </row>
    <row r="24" spans="1:12" x14ac:dyDescent="0.25">
      <c r="A24" s="4">
        <v>18</v>
      </c>
      <c r="B24" s="4">
        <f t="shared" si="4"/>
        <v>4.6000000000000014</v>
      </c>
      <c r="C24" s="4">
        <v>0.4</v>
      </c>
      <c r="D24" s="122">
        <f t="shared" si="1"/>
        <v>0.121914050594331</v>
      </c>
      <c r="E24" s="4">
        <v>0.46</v>
      </c>
      <c r="F24" s="181">
        <f>(0.5*(B24-B23)+0.5*(B25-B24))*D24</f>
        <v>2.1334958854007848E-2</v>
      </c>
      <c r="G24" s="184">
        <f>F24*E24</f>
        <v>9.8140810728436102E-3</v>
      </c>
      <c r="H24" s="122">
        <f t="shared" si="2"/>
        <v>9.8140810728436101</v>
      </c>
      <c r="L24" s="183">
        <f t="shared" si="0"/>
        <v>2.5050567916601738E-2</v>
      </c>
    </row>
    <row r="25" spans="1:12" x14ac:dyDescent="0.25">
      <c r="A25" s="111">
        <v>19</v>
      </c>
      <c r="B25" s="111">
        <v>4.75</v>
      </c>
      <c r="C25" s="111">
        <v>0</v>
      </c>
      <c r="D25" s="125">
        <f t="shared" si="1"/>
        <v>0</v>
      </c>
      <c r="E25" s="111">
        <v>0</v>
      </c>
      <c r="F25" s="185">
        <f>AVERAGE(D24:D25)*0.5*(B25-B24)</f>
        <v>4.571776897287369E-3</v>
      </c>
      <c r="G25" s="185">
        <f>F25*0.5*E25</f>
        <v>0</v>
      </c>
      <c r="H25" s="125">
        <f t="shared" si="2"/>
        <v>0</v>
      </c>
      <c r="I25" s="205" t="s">
        <v>225</v>
      </c>
      <c r="L25" s="183">
        <f t="shared" si="0"/>
        <v>0</v>
      </c>
    </row>
    <row r="26" spans="1:12" x14ac:dyDescent="0.25">
      <c r="A26" s="187"/>
      <c r="B26" s="188"/>
      <c r="C26" s="188"/>
      <c r="D26" s="188"/>
      <c r="E26" s="89" t="s">
        <v>232</v>
      </c>
      <c r="F26" s="219">
        <f>SUM(F6:F25)</f>
        <v>0.62633343492837557</v>
      </c>
      <c r="G26" s="220">
        <f>SUM(G6:G25)</f>
        <v>0.39177080158488276</v>
      </c>
      <c r="H26" s="221">
        <f>SUM(H6:H25)</f>
        <v>391.7708015848828</v>
      </c>
      <c r="I26" s="206"/>
      <c r="K26" s="191" t="e">
        <f>#REF!/7.481/60</f>
        <v>#REF!</v>
      </c>
      <c r="L26" s="5" t="s">
        <v>228</v>
      </c>
    </row>
    <row r="27" spans="1:12" x14ac:dyDescent="0.25">
      <c r="A27" s="62" t="s">
        <v>231</v>
      </c>
    </row>
    <row r="28" spans="1:12" ht="37.5" hidden="1" customHeight="1" thickBot="1" x14ac:dyDescent="0.3">
      <c r="A28" s="179" t="s">
        <v>220</v>
      </c>
      <c r="B28" s="179" t="s">
        <v>221</v>
      </c>
      <c r="C28" s="179" t="s">
        <v>222</v>
      </c>
      <c r="D28" s="179" t="s">
        <v>223</v>
      </c>
      <c r="E28" s="179" t="s">
        <v>224</v>
      </c>
      <c r="F28" s="179" t="s">
        <v>573</v>
      </c>
      <c r="G28" s="180" t="s">
        <v>574</v>
      </c>
      <c r="H28" s="179" t="s">
        <v>246</v>
      </c>
      <c r="I28" s="207" t="s">
        <v>124</v>
      </c>
    </row>
    <row r="29" spans="1:12" x14ac:dyDescent="0.25">
      <c r="A29" s="4">
        <v>0</v>
      </c>
      <c r="B29" s="4">
        <v>1</v>
      </c>
      <c r="C29" s="4">
        <v>0</v>
      </c>
      <c r="D29" s="122">
        <v>0</v>
      </c>
      <c r="E29" s="2">
        <v>0</v>
      </c>
      <c r="F29" s="182">
        <f>AVERAGE(D29:D30)*0.5*(B30-B29)</f>
        <v>1.9049070405364233E-3</v>
      </c>
      <c r="G29" s="182">
        <f>F29*0.5*E30</f>
        <v>-9.5245352026821169E-6</v>
      </c>
      <c r="H29" s="182">
        <f>G29*1000</f>
        <v>-9.5245352026821165E-3</v>
      </c>
      <c r="I29" s="203" t="s">
        <v>225</v>
      </c>
      <c r="L29" s="183">
        <f t="shared" ref="L29:L49" si="6">H29/$H$50</f>
        <v>-2.5154448312639616E-5</v>
      </c>
    </row>
    <row r="30" spans="1:12" x14ac:dyDescent="0.25">
      <c r="A30" s="4">
        <v>1</v>
      </c>
      <c r="B30" s="4">
        <v>1.1000000000000001</v>
      </c>
      <c r="C30" s="4">
        <v>0.25</v>
      </c>
      <c r="D30" s="122">
        <f t="shared" ref="D30:D49" si="7">C30/3.281</f>
        <v>7.6196281621456863E-2</v>
      </c>
      <c r="E30" s="2">
        <v>-0.01</v>
      </c>
      <c r="F30" s="181">
        <f>(0.5*(B30-B29)+0.5*(B31-B30))*D30</f>
        <v>1.1429442243218532E-2</v>
      </c>
      <c r="G30" s="182">
        <f>F30*E30</f>
        <v>-1.1429442243218532E-4</v>
      </c>
      <c r="H30" s="182">
        <f t="shared" ref="H30:H49" si="8">G30*1000</f>
        <v>-0.11429442243218532</v>
      </c>
      <c r="L30" s="183">
        <f t="shared" si="6"/>
        <v>-3.0185337975167519E-4</v>
      </c>
    </row>
    <row r="31" spans="1:12" x14ac:dyDescent="0.25">
      <c r="A31" s="4">
        <v>2</v>
      </c>
      <c r="B31" s="4">
        <f>B30+0.2</f>
        <v>1.3</v>
      </c>
      <c r="C31" s="4">
        <v>0.35</v>
      </c>
      <c r="D31" s="122">
        <f t="shared" si="7"/>
        <v>0.10667479427003961</v>
      </c>
      <c r="E31" s="2">
        <v>0.01</v>
      </c>
      <c r="F31" s="181">
        <f t="shared" ref="F31:F48" si="9">(0.5*(B31-B30)+0.5*(B32-B31))*D31</f>
        <v>2.1334958854007918E-2</v>
      </c>
      <c r="G31" s="182">
        <f>F31*E31</f>
        <v>2.1334958854007919E-4</v>
      </c>
      <c r="H31" s="182">
        <f t="shared" si="8"/>
        <v>0.21334958854007918</v>
      </c>
      <c r="L31" s="183">
        <f t="shared" si="6"/>
        <v>5.6345964220312682E-4</v>
      </c>
    </row>
    <row r="32" spans="1:12" x14ac:dyDescent="0.25">
      <c r="A32" s="4">
        <v>3</v>
      </c>
      <c r="B32" s="4">
        <f t="shared" ref="B32:B47" si="10">B31+0.2</f>
        <v>1.5</v>
      </c>
      <c r="C32" s="4">
        <v>0.3</v>
      </c>
      <c r="D32" s="122">
        <f t="shared" si="7"/>
        <v>9.1435537945748241E-2</v>
      </c>
      <c r="E32" s="2">
        <v>0.15</v>
      </c>
      <c r="F32" s="181">
        <f t="shared" si="9"/>
        <v>1.8287107589149643E-2</v>
      </c>
      <c r="G32" s="182">
        <f t="shared" ref="G32" si="11">F32*E32</f>
        <v>2.7430661383724465E-3</v>
      </c>
      <c r="H32" s="182">
        <f t="shared" si="8"/>
        <v>2.7430661383724466</v>
      </c>
      <c r="L32" s="183">
        <f t="shared" si="6"/>
        <v>7.2444811140402014E-3</v>
      </c>
    </row>
    <row r="33" spans="1:17" x14ac:dyDescent="0.25">
      <c r="A33" s="4">
        <v>4</v>
      </c>
      <c r="B33" s="4">
        <f t="shared" si="10"/>
        <v>1.7</v>
      </c>
      <c r="C33" s="4">
        <v>0.4</v>
      </c>
      <c r="D33" s="122">
        <f t="shared" si="7"/>
        <v>0.121914050594331</v>
      </c>
      <c r="E33" s="2">
        <v>0.37</v>
      </c>
      <c r="F33" s="181">
        <f t="shared" si="9"/>
        <v>2.4382810118866192E-2</v>
      </c>
      <c r="G33" s="182">
        <f>F33*E33</f>
        <v>9.0216397439804915E-3</v>
      </c>
      <c r="H33" s="182">
        <f t="shared" si="8"/>
        <v>9.0216397439804918</v>
      </c>
      <c r="L33" s="183">
        <f t="shared" si="6"/>
        <v>2.3826293441732219E-2</v>
      </c>
    </row>
    <row r="34" spans="1:17" x14ac:dyDescent="0.25">
      <c r="A34" s="4">
        <v>5</v>
      </c>
      <c r="B34" s="4">
        <f t="shared" si="10"/>
        <v>1.9</v>
      </c>
      <c r="C34" s="4">
        <v>0.3</v>
      </c>
      <c r="D34" s="122">
        <f t="shared" si="7"/>
        <v>9.1435537945748241E-2</v>
      </c>
      <c r="E34" s="2">
        <v>0.38</v>
      </c>
      <c r="F34" s="181">
        <f t="shared" si="9"/>
        <v>1.8287107589149653E-2</v>
      </c>
      <c r="G34" s="182">
        <f t="shared" ref="G34:G48" si="12">F34*E34</f>
        <v>6.9491008838768681E-3</v>
      </c>
      <c r="H34" s="182">
        <f t="shared" si="8"/>
        <v>6.9491008838768682</v>
      </c>
      <c r="L34" s="183">
        <f t="shared" si="6"/>
        <v>1.8352685488901854E-2</v>
      </c>
    </row>
    <row r="35" spans="1:17" x14ac:dyDescent="0.25">
      <c r="A35" s="4">
        <v>6</v>
      </c>
      <c r="B35" s="4">
        <f t="shared" si="10"/>
        <v>2.1</v>
      </c>
      <c r="C35" s="4">
        <v>0.4</v>
      </c>
      <c r="D35" s="122">
        <f t="shared" si="7"/>
        <v>0.121914050594331</v>
      </c>
      <c r="E35" s="2">
        <v>0.22</v>
      </c>
      <c r="F35" s="181">
        <f t="shared" si="9"/>
        <v>2.438281011886622E-2</v>
      </c>
      <c r="G35" s="182">
        <f t="shared" si="12"/>
        <v>5.3642182261505683E-3</v>
      </c>
      <c r="H35" s="182">
        <f t="shared" si="8"/>
        <v>5.3642182261505686</v>
      </c>
      <c r="L35" s="183">
        <f t="shared" si="6"/>
        <v>1.4166985289678634E-2</v>
      </c>
    </row>
    <row r="36" spans="1:17" x14ac:dyDescent="0.25">
      <c r="A36" s="4">
        <v>7</v>
      </c>
      <c r="B36" s="4">
        <f t="shared" si="10"/>
        <v>2.3000000000000003</v>
      </c>
      <c r="C36" s="4">
        <v>0.3</v>
      </c>
      <c r="D36" s="122">
        <f t="shared" si="7"/>
        <v>9.1435537945748241E-2</v>
      </c>
      <c r="E36" s="2">
        <v>0.52</v>
      </c>
      <c r="F36" s="181">
        <f t="shared" si="9"/>
        <v>1.8287107589149663E-2</v>
      </c>
      <c r="G36" s="182">
        <f t="shared" si="12"/>
        <v>9.5092959463578246E-3</v>
      </c>
      <c r="H36" s="182">
        <f t="shared" si="8"/>
        <v>9.5092959463578239</v>
      </c>
      <c r="L36" s="183">
        <f t="shared" si="6"/>
        <v>2.511420119533939E-2</v>
      </c>
    </row>
    <row r="37" spans="1:17" x14ac:dyDescent="0.25">
      <c r="A37" s="4">
        <v>8</v>
      </c>
      <c r="B37" s="4">
        <f t="shared" si="10"/>
        <v>2.5000000000000004</v>
      </c>
      <c r="C37" s="4">
        <v>0.6</v>
      </c>
      <c r="D37" s="122">
        <f t="shared" si="7"/>
        <v>0.18287107589149648</v>
      </c>
      <c r="E37" s="2">
        <v>0.11</v>
      </c>
      <c r="F37" s="181">
        <f t="shared" si="9"/>
        <v>3.6574215178299327E-2</v>
      </c>
      <c r="G37" s="182">
        <f t="shared" si="12"/>
        <v>4.0231636696129256E-3</v>
      </c>
      <c r="H37" s="182">
        <f t="shared" si="8"/>
        <v>4.0231636696129254</v>
      </c>
      <c r="L37" s="183">
        <f t="shared" si="6"/>
        <v>1.0625238967258971E-2</v>
      </c>
      <c r="O37" s="5" t="s">
        <v>234</v>
      </c>
      <c r="P37" s="191">
        <f>AVERAGE(H26,H50,H73)</f>
        <v>378.83140302753242</v>
      </c>
    </row>
    <row r="38" spans="1:17" x14ac:dyDescent="0.25">
      <c r="A38" s="4">
        <v>9</v>
      </c>
      <c r="B38" s="4">
        <f t="shared" si="10"/>
        <v>2.7000000000000006</v>
      </c>
      <c r="C38" s="4">
        <v>0.5</v>
      </c>
      <c r="D38" s="122">
        <f t="shared" si="7"/>
        <v>0.15239256324291373</v>
      </c>
      <c r="E38" s="2">
        <v>0.47</v>
      </c>
      <c r="F38" s="181">
        <f t="shared" si="9"/>
        <v>3.0478512648582774E-2</v>
      </c>
      <c r="G38" s="182">
        <f t="shared" si="12"/>
        <v>1.4324900944833904E-2</v>
      </c>
      <c r="H38" s="182">
        <f t="shared" si="8"/>
        <v>14.324900944833903</v>
      </c>
      <c r="L38" s="183">
        <f t="shared" si="6"/>
        <v>3.783229026220998E-2</v>
      </c>
      <c r="O38" s="5" t="s">
        <v>235</v>
      </c>
      <c r="P38" s="191">
        <f>H26-H73</f>
        <v>25.689576348674166</v>
      </c>
    </row>
    <row r="39" spans="1:17" x14ac:dyDescent="0.25">
      <c r="A39" s="4">
        <v>10</v>
      </c>
      <c r="B39" s="4">
        <f t="shared" si="10"/>
        <v>2.9000000000000008</v>
      </c>
      <c r="C39" s="4">
        <v>0.55000000000000004</v>
      </c>
      <c r="D39" s="122">
        <f t="shared" si="7"/>
        <v>0.16763181956720513</v>
      </c>
      <c r="E39" s="2">
        <v>0.59</v>
      </c>
      <c r="F39" s="181">
        <f t="shared" si="9"/>
        <v>3.3526363913441055E-2</v>
      </c>
      <c r="G39" s="182">
        <f t="shared" si="12"/>
        <v>1.9780554708930222E-2</v>
      </c>
      <c r="H39" s="182">
        <f t="shared" si="8"/>
        <v>19.780554708930222</v>
      </c>
      <c r="L39" s="183">
        <f t="shared" si="6"/>
        <v>5.2240758255689961E-2</v>
      </c>
      <c r="O39" s="5" t="s">
        <v>238</v>
      </c>
      <c r="P39" s="5">
        <f>P38/3</f>
        <v>8.5631921162247213</v>
      </c>
      <c r="Q39" s="192">
        <f>P39/P37</f>
        <v>2.2604229870569554E-2</v>
      </c>
    </row>
    <row r="40" spans="1:17" x14ac:dyDescent="0.25">
      <c r="A40" s="4">
        <v>11</v>
      </c>
      <c r="B40" s="4">
        <f t="shared" si="10"/>
        <v>3.100000000000001</v>
      </c>
      <c r="C40" s="4">
        <v>0.65</v>
      </c>
      <c r="D40" s="122">
        <f t="shared" si="7"/>
        <v>0.19811033221578786</v>
      </c>
      <c r="E40" s="2">
        <v>0.75</v>
      </c>
      <c r="F40" s="181">
        <f t="shared" si="9"/>
        <v>3.9622066443157605E-2</v>
      </c>
      <c r="G40" s="182">
        <f t="shared" si="12"/>
        <v>2.9716549832368204E-2</v>
      </c>
      <c r="H40" s="182">
        <f t="shared" si="8"/>
        <v>29.716549832368205</v>
      </c>
      <c r="L40" s="183">
        <f t="shared" si="6"/>
        <v>7.8481878735435606E-2</v>
      </c>
      <c r="O40" s="5" t="s">
        <v>236</v>
      </c>
      <c r="P40" s="5">
        <f>P39/(SQRT(3))</f>
        <v>4.9439612734248239</v>
      </c>
      <c r="Q40" s="192">
        <f>P40/P37</f>
        <v>1.3050558200597511E-2</v>
      </c>
    </row>
    <row r="41" spans="1:17" x14ac:dyDescent="0.25">
      <c r="A41" s="4">
        <v>12</v>
      </c>
      <c r="B41" s="4">
        <f t="shared" si="10"/>
        <v>3.3000000000000012</v>
      </c>
      <c r="C41" s="4">
        <v>0.6</v>
      </c>
      <c r="D41" s="122">
        <f t="shared" si="7"/>
        <v>0.18287107589149648</v>
      </c>
      <c r="E41" s="2">
        <v>0.78</v>
      </c>
      <c r="F41" s="181">
        <f t="shared" si="9"/>
        <v>3.6574215178299327E-2</v>
      </c>
      <c r="G41" s="182">
        <f t="shared" si="12"/>
        <v>2.8527887839073476E-2</v>
      </c>
      <c r="H41" s="182">
        <f t="shared" si="8"/>
        <v>28.527887839073475</v>
      </c>
      <c r="L41" s="183">
        <f t="shared" si="6"/>
        <v>7.5342603586018173E-2</v>
      </c>
      <c r="O41" s="5" t="s">
        <v>240</v>
      </c>
      <c r="P41" s="5">
        <f>STDEV(H26,H50,H73)</f>
        <v>12.845833434126083</v>
      </c>
      <c r="Q41" s="192">
        <f>P41/P37</f>
        <v>3.3909103974657781E-2</v>
      </c>
    </row>
    <row r="42" spans="1:17" x14ac:dyDescent="0.25">
      <c r="A42" s="4">
        <v>13</v>
      </c>
      <c r="B42" s="4">
        <f t="shared" si="10"/>
        <v>3.5000000000000013</v>
      </c>
      <c r="C42" s="4">
        <v>0.8</v>
      </c>
      <c r="D42" s="122">
        <f t="shared" si="7"/>
        <v>0.24382810118866199</v>
      </c>
      <c r="E42" s="2">
        <v>0.87</v>
      </c>
      <c r="F42" s="181">
        <f t="shared" si="9"/>
        <v>4.876562023773244E-2</v>
      </c>
      <c r="G42" s="182">
        <f t="shared" si="12"/>
        <v>4.2426089606827221E-2</v>
      </c>
      <c r="H42" s="182">
        <f t="shared" si="8"/>
        <v>42.426089606827219</v>
      </c>
      <c r="L42" s="183">
        <f t="shared" si="6"/>
        <v>0.1120479745638219</v>
      </c>
    </row>
    <row r="43" spans="1:17" x14ac:dyDescent="0.25">
      <c r="A43" s="4">
        <v>14</v>
      </c>
      <c r="B43" s="4">
        <f t="shared" si="10"/>
        <v>3.7000000000000015</v>
      </c>
      <c r="C43" s="4">
        <v>0.9</v>
      </c>
      <c r="D43" s="122">
        <f t="shared" si="7"/>
        <v>0.27430661383724475</v>
      </c>
      <c r="E43" s="2">
        <v>0.79</v>
      </c>
      <c r="F43" s="181">
        <f t="shared" si="9"/>
        <v>5.4861322767448997E-2</v>
      </c>
      <c r="G43" s="182">
        <f t="shared" si="12"/>
        <v>4.3340444986284712E-2</v>
      </c>
      <c r="H43" s="182">
        <f t="shared" si="8"/>
        <v>43.340444986284716</v>
      </c>
      <c r="L43" s="183">
        <f t="shared" si="6"/>
        <v>0.11446280160183533</v>
      </c>
      <c r="O43" s="5" t="s">
        <v>239</v>
      </c>
    </row>
    <row r="44" spans="1:17" x14ac:dyDescent="0.25">
      <c r="A44" s="4">
        <v>15</v>
      </c>
      <c r="B44" s="4">
        <f t="shared" si="10"/>
        <v>3.9000000000000017</v>
      </c>
      <c r="C44" s="4">
        <v>0.7</v>
      </c>
      <c r="D44" s="122">
        <f t="shared" si="7"/>
        <v>0.21334958854007921</v>
      </c>
      <c r="E44" s="2">
        <v>1.18</v>
      </c>
      <c r="F44" s="181">
        <f t="shared" si="9"/>
        <v>4.2669917708015835E-2</v>
      </c>
      <c r="G44" s="182">
        <f t="shared" si="12"/>
        <v>5.0350502895458685E-2</v>
      </c>
      <c r="H44" s="182">
        <f t="shared" si="8"/>
        <v>50.350502895458682</v>
      </c>
      <c r="L44" s="183">
        <f t="shared" si="6"/>
        <v>0.13297647555993791</v>
      </c>
    </row>
    <row r="45" spans="1:17" x14ac:dyDescent="0.25">
      <c r="A45" s="4">
        <v>16</v>
      </c>
      <c r="B45" s="4">
        <f t="shared" si="10"/>
        <v>4.1000000000000014</v>
      </c>
      <c r="C45" s="4">
        <v>0.75</v>
      </c>
      <c r="D45" s="122">
        <f t="shared" si="7"/>
        <v>0.22858884486437062</v>
      </c>
      <c r="E45" s="2">
        <v>1.1599999999999999</v>
      </c>
      <c r="F45" s="181">
        <f t="shared" si="9"/>
        <v>4.5717768972874114E-2</v>
      </c>
      <c r="G45" s="182">
        <f t="shared" si="12"/>
        <v>5.3032612008533965E-2</v>
      </c>
      <c r="H45" s="182">
        <f t="shared" si="8"/>
        <v>53.032612008533967</v>
      </c>
      <c r="L45" s="183">
        <f t="shared" si="6"/>
        <v>0.14005996820477723</v>
      </c>
    </row>
    <row r="46" spans="1:17" x14ac:dyDescent="0.25">
      <c r="A46" s="4">
        <v>17</v>
      </c>
      <c r="B46" s="4">
        <f t="shared" si="10"/>
        <v>4.3000000000000016</v>
      </c>
      <c r="C46" s="4">
        <v>0.8</v>
      </c>
      <c r="D46" s="122">
        <f t="shared" si="7"/>
        <v>0.24382810118866199</v>
      </c>
      <c r="E46" s="2">
        <v>0.76</v>
      </c>
      <c r="F46" s="181">
        <f t="shared" si="9"/>
        <v>4.876562023773244E-2</v>
      </c>
      <c r="G46" s="182">
        <f t="shared" si="12"/>
        <v>3.7061871380676653E-2</v>
      </c>
      <c r="H46" s="182">
        <f t="shared" si="8"/>
        <v>37.061871380676656</v>
      </c>
      <c r="L46" s="183">
        <f t="shared" si="6"/>
        <v>9.7880989274143279E-2</v>
      </c>
    </row>
    <row r="47" spans="1:17" x14ac:dyDescent="0.25">
      <c r="A47" s="4">
        <v>18</v>
      </c>
      <c r="B47" s="4">
        <f t="shared" si="10"/>
        <v>4.5000000000000018</v>
      </c>
      <c r="C47" s="4">
        <v>0.4</v>
      </c>
      <c r="D47" s="122">
        <f t="shared" si="7"/>
        <v>0.121914050594331</v>
      </c>
      <c r="E47" s="2">
        <v>0.48</v>
      </c>
      <c r="F47" s="181">
        <f t="shared" si="9"/>
        <v>2.4382810118866113E-2</v>
      </c>
      <c r="G47" s="182">
        <f t="shared" si="12"/>
        <v>1.1703748857055734E-2</v>
      </c>
      <c r="H47" s="182">
        <f t="shared" si="8"/>
        <v>11.703748857055734</v>
      </c>
      <c r="L47" s="183">
        <f t="shared" si="6"/>
        <v>3.0909786086571425E-2</v>
      </c>
    </row>
    <row r="48" spans="1:17" x14ac:dyDescent="0.25">
      <c r="A48" s="4">
        <v>19</v>
      </c>
      <c r="B48" s="4">
        <v>4.7</v>
      </c>
      <c r="C48" s="4">
        <v>0.5</v>
      </c>
      <c r="D48" s="122">
        <f t="shared" si="7"/>
        <v>0.15239256324291373</v>
      </c>
      <c r="E48" s="2">
        <v>0.56000000000000005</v>
      </c>
      <c r="F48" s="181">
        <f t="shared" si="9"/>
        <v>1.904907040536408E-2</v>
      </c>
      <c r="G48" s="182">
        <f t="shared" si="12"/>
        <v>1.0667479427003886E-2</v>
      </c>
      <c r="H48" s="182">
        <f t="shared" si="8"/>
        <v>10.667479427003887</v>
      </c>
      <c r="L48" s="183">
        <f t="shared" si="6"/>
        <v>2.8172982110156147E-2</v>
      </c>
    </row>
    <row r="49" spans="1:12" x14ac:dyDescent="0.25">
      <c r="A49" s="111">
        <v>20</v>
      </c>
      <c r="B49" s="111">
        <v>4.75</v>
      </c>
      <c r="C49" s="111">
        <v>0</v>
      </c>
      <c r="D49" s="125">
        <f t="shared" si="7"/>
        <v>0</v>
      </c>
      <c r="E49" s="34">
        <v>0</v>
      </c>
      <c r="F49" s="193">
        <f>AVERAGE(D48:D49)*0.5*(B49-B48)</f>
        <v>1.9049070405364149E-3</v>
      </c>
      <c r="G49" s="193">
        <f>F49*0.5*E49</f>
        <v>0</v>
      </c>
      <c r="H49" s="193">
        <f t="shared" si="8"/>
        <v>0</v>
      </c>
      <c r="I49" s="205" t="s">
        <v>225</v>
      </c>
      <c r="L49" s="183">
        <f t="shared" si="6"/>
        <v>0</v>
      </c>
    </row>
    <row r="50" spans="1:12" x14ac:dyDescent="0.25">
      <c r="A50" s="188"/>
      <c r="B50" s="188"/>
      <c r="C50" s="188"/>
      <c r="D50" s="188"/>
      <c r="E50" s="89" t="s">
        <v>232</v>
      </c>
      <c r="F50" s="222">
        <f>SUM(F30:F49)</f>
        <v>0.59928375495275832</v>
      </c>
      <c r="G50" s="222">
        <f>SUM(G30:G49)</f>
        <v>0.37864218226150576</v>
      </c>
      <c r="H50" s="223">
        <f>SUM(H30:H49)</f>
        <v>378.64218226150581</v>
      </c>
      <c r="I50" s="224"/>
      <c r="K50" s="5">
        <f>H50*60/3.79</f>
        <v>5994.3353392322824</v>
      </c>
      <c r="L50" s="5" t="s">
        <v>227</v>
      </c>
    </row>
    <row r="51" spans="1:12" x14ac:dyDescent="0.25">
      <c r="A51" s="62" t="s">
        <v>233</v>
      </c>
    </row>
    <row r="52" spans="1:12" ht="39" hidden="1" customHeight="1" thickBot="1" x14ac:dyDescent="0.3">
      <c r="A52" s="179" t="s">
        <v>220</v>
      </c>
      <c r="B52" s="179" t="s">
        <v>221</v>
      </c>
      <c r="C52" s="179" t="s">
        <v>222</v>
      </c>
      <c r="D52" s="179" t="s">
        <v>223</v>
      </c>
      <c r="E52" s="179" t="s">
        <v>224</v>
      </c>
      <c r="F52" s="179" t="s">
        <v>573</v>
      </c>
      <c r="G52" s="180" t="s">
        <v>574</v>
      </c>
      <c r="H52" s="179" t="s">
        <v>246</v>
      </c>
      <c r="I52" s="207" t="s">
        <v>124</v>
      </c>
    </row>
    <row r="53" spans="1:12" x14ac:dyDescent="0.25">
      <c r="A53" s="4">
        <v>0</v>
      </c>
      <c r="B53" s="4">
        <v>1</v>
      </c>
      <c r="C53" s="4">
        <v>0</v>
      </c>
      <c r="D53" s="4">
        <f>C53/3.281</f>
        <v>0</v>
      </c>
      <c r="E53" s="4">
        <v>0</v>
      </c>
      <c r="F53" s="182">
        <f>AVERAGE(D53:D54)*0.5*(B54-B53)</f>
        <v>5.3337397135019794E-3</v>
      </c>
      <c r="G53" s="182">
        <f>F53*0.5*E54</f>
        <v>-2.6668698567509898E-5</v>
      </c>
      <c r="H53" s="182">
        <f>G53*1000</f>
        <v>-2.6668698567509898E-2</v>
      </c>
      <c r="I53" s="7" t="s">
        <v>225</v>
      </c>
      <c r="L53" s="183">
        <f>H53/$H$73</f>
        <v>-7.284912945290298E-5</v>
      </c>
    </row>
    <row r="54" spans="1:12" x14ac:dyDescent="0.25">
      <c r="A54" s="4">
        <v>1</v>
      </c>
      <c r="B54" s="4">
        <v>1.2</v>
      </c>
      <c r="C54" s="4">
        <v>0.35</v>
      </c>
      <c r="D54" s="122">
        <f t="shared" ref="D54:D72" si="13">C54/3.281</f>
        <v>0.10667479427003961</v>
      </c>
      <c r="E54" s="4">
        <v>-0.01</v>
      </c>
      <c r="F54" s="181">
        <f>(0.5*(B54-B53)+0.5*(B55-B54))*D54</f>
        <v>2.1334958854007918E-2</v>
      </c>
      <c r="G54" s="182">
        <f>F54*E54</f>
        <v>-2.1334958854007919E-4</v>
      </c>
      <c r="H54" s="182">
        <f>G54*1000</f>
        <v>-0.21334958854007918</v>
      </c>
      <c r="I54" s="7"/>
      <c r="L54" s="183">
        <f t="shared" ref="L54:L72" si="14">H54/$H$73</f>
        <v>-5.8279303562322384E-4</v>
      </c>
    </row>
    <row r="55" spans="1:12" x14ac:dyDescent="0.25">
      <c r="A55" s="4">
        <v>2</v>
      </c>
      <c r="B55" s="4">
        <f>B54+0.2</f>
        <v>1.4</v>
      </c>
      <c r="C55" s="4">
        <v>0.25</v>
      </c>
      <c r="D55" s="122">
        <f t="shared" si="13"/>
        <v>7.6196281621456863E-2</v>
      </c>
      <c r="E55" s="4">
        <v>0.1</v>
      </c>
      <c r="F55" s="181">
        <f t="shared" ref="F55:F70" si="15">(0.5*(B55-B54)+0.5*(B56-B55))*D55</f>
        <v>1.5239256324291369E-2</v>
      </c>
      <c r="G55" s="182">
        <f>F55*E55</f>
        <v>1.523925632429137E-3</v>
      </c>
      <c r="H55" s="182">
        <f t="shared" ref="H55:H72" si="16">G55*1000</f>
        <v>1.523925632429137</v>
      </c>
      <c r="I55" s="7"/>
      <c r="L55" s="183">
        <f t="shared" si="14"/>
        <v>4.1628073973087416E-3</v>
      </c>
    </row>
    <row r="56" spans="1:12" x14ac:dyDescent="0.25">
      <c r="A56" s="4">
        <v>3</v>
      </c>
      <c r="B56" s="4">
        <f t="shared" ref="B56:B71" si="17">B55+0.2</f>
        <v>1.5999999999999999</v>
      </c>
      <c r="C56" s="4">
        <v>0.4</v>
      </c>
      <c r="D56" s="122">
        <f t="shared" si="13"/>
        <v>0.121914050594331</v>
      </c>
      <c r="E56" s="4">
        <v>0.28999999999999998</v>
      </c>
      <c r="F56" s="181">
        <f t="shared" si="15"/>
        <v>2.4382810118866192E-2</v>
      </c>
      <c r="G56" s="182">
        <f t="shared" ref="G56" si="18">F56*E56</f>
        <v>7.0710149344711953E-3</v>
      </c>
      <c r="H56" s="182">
        <f t="shared" si="16"/>
        <v>7.0710149344711954</v>
      </c>
      <c r="I56" s="7"/>
      <c r="L56" s="183">
        <f t="shared" si="14"/>
        <v>1.9315426323512561E-2</v>
      </c>
    </row>
    <row r="57" spans="1:12" x14ac:dyDescent="0.25">
      <c r="A57" s="4">
        <v>4</v>
      </c>
      <c r="B57" s="4">
        <f t="shared" si="17"/>
        <v>1.7999999999999998</v>
      </c>
      <c r="C57" s="4">
        <v>0.45</v>
      </c>
      <c r="D57" s="122">
        <f t="shared" si="13"/>
        <v>0.13715330691862238</v>
      </c>
      <c r="E57" s="4">
        <v>0.33</v>
      </c>
      <c r="F57" s="181">
        <f>(0.5*(B57-B56)+0.5*(B58-B57))*D57</f>
        <v>2.7430661383724467E-2</v>
      </c>
      <c r="G57" s="182">
        <f>F57*E57</f>
        <v>9.0521182566290753E-3</v>
      </c>
      <c r="H57" s="182">
        <f t="shared" si="16"/>
        <v>9.0521182566290754</v>
      </c>
      <c r="I57" s="7"/>
      <c r="L57" s="183">
        <f t="shared" si="14"/>
        <v>2.4727075940013932E-2</v>
      </c>
    </row>
    <row r="58" spans="1:12" x14ac:dyDescent="0.25">
      <c r="A58" s="4">
        <v>5</v>
      </c>
      <c r="B58" s="4">
        <f t="shared" si="17"/>
        <v>1.9999999999999998</v>
      </c>
      <c r="C58" s="4">
        <v>0.35</v>
      </c>
      <c r="D58" s="122">
        <f t="shared" si="13"/>
        <v>0.10667479427003961</v>
      </c>
      <c r="E58" s="4">
        <v>0.32</v>
      </c>
      <c r="F58" s="181">
        <f>(0.5*(B58-B57)+0.5*(B59-B58))*D58</f>
        <v>2.1334958854007918E-2</v>
      </c>
      <c r="G58" s="182">
        <f t="shared" ref="G58:G71" si="19">F58*E58</f>
        <v>6.827186833282534E-3</v>
      </c>
      <c r="H58" s="182">
        <f t="shared" si="16"/>
        <v>6.8271868332825338</v>
      </c>
      <c r="I58" s="7"/>
      <c r="L58" s="183">
        <f t="shared" si="14"/>
        <v>1.8649377139943163E-2</v>
      </c>
    </row>
    <row r="59" spans="1:12" x14ac:dyDescent="0.25">
      <c r="A59" s="4">
        <v>6</v>
      </c>
      <c r="B59" s="4">
        <f t="shared" si="17"/>
        <v>2.1999999999999997</v>
      </c>
      <c r="C59" s="4">
        <v>0.4</v>
      </c>
      <c r="D59" s="122">
        <f t="shared" si="13"/>
        <v>0.121914050594331</v>
      </c>
      <c r="E59" s="4">
        <v>0.37</v>
      </c>
      <c r="F59" s="181">
        <f t="shared" si="15"/>
        <v>2.4382810118866206E-2</v>
      </c>
      <c r="G59" s="182">
        <f t="shared" si="19"/>
        <v>9.0216397439804967E-3</v>
      </c>
      <c r="H59" s="182">
        <f t="shared" si="16"/>
        <v>9.0216397439804972</v>
      </c>
      <c r="I59" s="7"/>
      <c r="L59" s="183">
        <f t="shared" si="14"/>
        <v>2.464381979206777E-2</v>
      </c>
    </row>
    <row r="60" spans="1:12" x14ac:dyDescent="0.25">
      <c r="A60" s="4">
        <v>7</v>
      </c>
      <c r="B60" s="4">
        <f t="shared" si="17"/>
        <v>2.4</v>
      </c>
      <c r="C60" s="4">
        <v>0.3</v>
      </c>
      <c r="D60" s="122">
        <f t="shared" si="13"/>
        <v>9.1435537945748241E-2</v>
      </c>
      <c r="E60" s="4">
        <v>0.42</v>
      </c>
      <c r="F60" s="181">
        <f t="shared" si="15"/>
        <v>1.8287107589149663E-2</v>
      </c>
      <c r="G60" s="182">
        <f t="shared" si="19"/>
        <v>7.6805851874428583E-3</v>
      </c>
      <c r="H60" s="182">
        <f t="shared" si="16"/>
        <v>7.6805851874428583</v>
      </c>
      <c r="I60" s="7"/>
      <c r="L60" s="183">
        <f t="shared" si="14"/>
        <v>2.0980549282436079E-2</v>
      </c>
    </row>
    <row r="61" spans="1:12" x14ac:dyDescent="0.25">
      <c r="A61" s="4">
        <v>8</v>
      </c>
      <c r="B61" s="4">
        <f t="shared" si="17"/>
        <v>2.6</v>
      </c>
      <c r="C61" s="4">
        <v>0.6</v>
      </c>
      <c r="D61" s="122">
        <f t="shared" si="13"/>
        <v>0.18287107589149648</v>
      </c>
      <c r="E61" s="4">
        <v>0.17</v>
      </c>
      <c r="F61" s="181">
        <f t="shared" si="15"/>
        <v>3.6574215178299327E-2</v>
      </c>
      <c r="G61" s="182">
        <f t="shared" si="19"/>
        <v>6.2176165803108857E-3</v>
      </c>
      <c r="H61" s="182">
        <f t="shared" si="16"/>
        <v>6.217616580310886</v>
      </c>
      <c r="I61" s="7"/>
      <c r="L61" s="183">
        <f t="shared" si="14"/>
        <v>1.6984254181019686E-2</v>
      </c>
    </row>
    <row r="62" spans="1:12" x14ac:dyDescent="0.25">
      <c r="A62" s="4">
        <v>9</v>
      </c>
      <c r="B62" s="4">
        <f t="shared" si="17"/>
        <v>2.8000000000000003</v>
      </c>
      <c r="C62" s="4">
        <v>0.55000000000000004</v>
      </c>
      <c r="D62" s="122">
        <f t="shared" si="13"/>
        <v>0.16763181956720513</v>
      </c>
      <c r="E62" s="4">
        <v>0.56999999999999995</v>
      </c>
      <c r="F62" s="181">
        <f t="shared" si="15"/>
        <v>3.3526363913441055E-2</v>
      </c>
      <c r="G62" s="182">
        <f t="shared" si="19"/>
        <v>1.9110027430661401E-2</v>
      </c>
      <c r="H62" s="182">
        <f t="shared" si="16"/>
        <v>19.1100274306614</v>
      </c>
      <c r="I62" s="7"/>
      <c r="L62" s="183">
        <f t="shared" si="14"/>
        <v>5.2201604762251684E-2</v>
      </c>
    </row>
    <row r="63" spans="1:12" x14ac:dyDescent="0.25">
      <c r="A63" s="4">
        <v>10</v>
      </c>
      <c r="B63" s="4">
        <f t="shared" si="17"/>
        <v>3.0000000000000004</v>
      </c>
      <c r="C63" s="4">
        <v>0.6</v>
      </c>
      <c r="D63" s="122">
        <f t="shared" si="13"/>
        <v>0.18287107589149648</v>
      </c>
      <c r="E63" s="4">
        <v>0.84</v>
      </c>
      <c r="F63" s="181">
        <f t="shared" si="15"/>
        <v>3.6574215178299327E-2</v>
      </c>
      <c r="G63" s="182">
        <f t="shared" si="19"/>
        <v>3.0722340749771433E-2</v>
      </c>
      <c r="H63" s="182">
        <f t="shared" si="16"/>
        <v>30.722340749771433</v>
      </c>
      <c r="I63" s="7"/>
      <c r="L63" s="183">
        <f t="shared" si="14"/>
        <v>8.3922197129744316E-2</v>
      </c>
    </row>
    <row r="64" spans="1:12" x14ac:dyDescent="0.25">
      <c r="A64" s="4">
        <v>11</v>
      </c>
      <c r="B64" s="4">
        <f t="shared" si="17"/>
        <v>3.2000000000000006</v>
      </c>
      <c r="C64" s="4">
        <v>0.65</v>
      </c>
      <c r="D64" s="122">
        <f t="shared" si="13"/>
        <v>0.19811033221578786</v>
      </c>
      <c r="E64" s="4">
        <v>0.73</v>
      </c>
      <c r="F64" s="181">
        <f t="shared" si="15"/>
        <v>3.9622066443157605E-2</v>
      </c>
      <c r="G64" s="182">
        <f t="shared" si="19"/>
        <v>2.8924108503505051E-2</v>
      </c>
      <c r="H64" s="182">
        <f t="shared" si="16"/>
        <v>28.92410850350505</v>
      </c>
      <c r="I64" s="7"/>
      <c r="L64" s="183">
        <f t="shared" si="14"/>
        <v>7.901008440092E-2</v>
      </c>
    </row>
    <row r="65" spans="1:12" x14ac:dyDescent="0.25">
      <c r="A65" s="4">
        <v>12</v>
      </c>
      <c r="B65" s="4">
        <f t="shared" si="17"/>
        <v>3.4000000000000008</v>
      </c>
      <c r="C65" s="4">
        <v>0.7</v>
      </c>
      <c r="D65" s="122">
        <f t="shared" si="13"/>
        <v>0.21334958854007921</v>
      </c>
      <c r="E65" s="4">
        <v>0.76</v>
      </c>
      <c r="F65" s="181">
        <f t="shared" si="15"/>
        <v>4.2669917708015877E-2</v>
      </c>
      <c r="G65" s="182">
        <f t="shared" si="19"/>
        <v>3.2429137458092068E-2</v>
      </c>
      <c r="H65" s="182">
        <f t="shared" si="16"/>
        <v>32.429137458092065</v>
      </c>
      <c r="I65" s="7"/>
      <c r="L65" s="183">
        <f t="shared" si="14"/>
        <v>8.8584541414730114E-2</v>
      </c>
    </row>
    <row r="66" spans="1:12" x14ac:dyDescent="0.25">
      <c r="A66" s="4">
        <v>13</v>
      </c>
      <c r="B66" s="4">
        <f t="shared" si="17"/>
        <v>3.600000000000001</v>
      </c>
      <c r="C66" s="4">
        <v>0.85</v>
      </c>
      <c r="D66" s="122">
        <f t="shared" si="13"/>
        <v>0.25906735751295334</v>
      </c>
      <c r="E66" s="4">
        <v>0.78</v>
      </c>
      <c r="F66" s="181">
        <f t="shared" si="15"/>
        <v>5.1813471502590712E-2</v>
      </c>
      <c r="G66" s="182">
        <f t="shared" si="19"/>
        <v>4.0414507772020755E-2</v>
      </c>
      <c r="H66" s="182">
        <f t="shared" si="16"/>
        <v>40.414507772020755</v>
      </c>
      <c r="I66" s="7"/>
      <c r="L66" s="183">
        <f t="shared" si="14"/>
        <v>0.11039765217662795</v>
      </c>
    </row>
    <row r="67" spans="1:12" x14ac:dyDescent="0.25">
      <c r="A67" s="4">
        <v>14</v>
      </c>
      <c r="B67" s="4">
        <f t="shared" si="17"/>
        <v>3.8000000000000012</v>
      </c>
      <c r="C67" s="4">
        <v>0.75</v>
      </c>
      <c r="D67" s="122">
        <f t="shared" si="13"/>
        <v>0.22858884486437062</v>
      </c>
      <c r="E67" s="4">
        <v>1.01</v>
      </c>
      <c r="F67" s="181">
        <f t="shared" si="15"/>
        <v>4.5717768972874114E-2</v>
      </c>
      <c r="G67" s="182">
        <f t="shared" si="19"/>
        <v>4.6174946662602856E-2</v>
      </c>
      <c r="H67" s="182">
        <f t="shared" si="16"/>
        <v>46.174946662602856</v>
      </c>
      <c r="I67" s="7"/>
      <c r="L67" s="183">
        <f t="shared" si="14"/>
        <v>0.1261330641384549</v>
      </c>
    </row>
    <row r="68" spans="1:12" x14ac:dyDescent="0.25">
      <c r="A68" s="4">
        <v>15</v>
      </c>
      <c r="B68" s="4">
        <f t="shared" si="17"/>
        <v>4.0000000000000009</v>
      </c>
      <c r="C68" s="4">
        <v>0.75</v>
      </c>
      <c r="D68" s="122">
        <f t="shared" si="13"/>
        <v>0.22858884486437062</v>
      </c>
      <c r="E68" s="4">
        <v>1.1599999999999999</v>
      </c>
      <c r="F68" s="181">
        <f t="shared" si="15"/>
        <v>4.5717768972874114E-2</v>
      </c>
      <c r="G68" s="182">
        <f t="shared" si="19"/>
        <v>5.3032612008533965E-2</v>
      </c>
      <c r="H68" s="182">
        <f t="shared" si="16"/>
        <v>53.032612008533967</v>
      </c>
      <c r="I68" s="7"/>
      <c r="L68" s="183">
        <f t="shared" si="14"/>
        <v>0.14486569742634423</v>
      </c>
    </row>
    <row r="69" spans="1:12" x14ac:dyDescent="0.25">
      <c r="A69" s="4">
        <v>16</v>
      </c>
      <c r="B69" s="4">
        <f t="shared" si="17"/>
        <v>4.2000000000000011</v>
      </c>
      <c r="C69" s="4">
        <v>0.6</v>
      </c>
      <c r="D69" s="122">
        <f t="shared" si="13"/>
        <v>0.18287107589149648</v>
      </c>
      <c r="E69" s="4">
        <v>0.84</v>
      </c>
      <c r="F69" s="181">
        <f t="shared" si="15"/>
        <v>3.6574215178299327E-2</v>
      </c>
      <c r="G69" s="182">
        <f t="shared" si="19"/>
        <v>3.0722340749771433E-2</v>
      </c>
      <c r="H69" s="182">
        <f t="shared" si="16"/>
        <v>30.722340749771433</v>
      </c>
      <c r="I69" s="7"/>
      <c r="L69" s="183">
        <f t="shared" si="14"/>
        <v>8.3922197129744316E-2</v>
      </c>
    </row>
    <row r="70" spans="1:12" x14ac:dyDescent="0.25">
      <c r="A70" s="4">
        <v>17</v>
      </c>
      <c r="B70" s="4">
        <f t="shared" si="17"/>
        <v>4.4000000000000012</v>
      </c>
      <c r="C70" s="4">
        <v>0.85</v>
      </c>
      <c r="D70" s="122">
        <f t="shared" si="13"/>
        <v>0.25906735751295334</v>
      </c>
      <c r="E70" s="4">
        <v>0.52</v>
      </c>
      <c r="F70" s="181">
        <f t="shared" si="15"/>
        <v>5.1813471502590712E-2</v>
      </c>
      <c r="G70" s="182">
        <f t="shared" si="19"/>
        <v>2.6943005181347172E-2</v>
      </c>
      <c r="H70" s="182">
        <f t="shared" si="16"/>
        <v>26.943005181347171</v>
      </c>
      <c r="I70" s="7"/>
      <c r="L70" s="183">
        <f t="shared" si="14"/>
        <v>7.3598434784418632E-2</v>
      </c>
    </row>
    <row r="71" spans="1:12" x14ac:dyDescent="0.25">
      <c r="A71" s="4">
        <v>18</v>
      </c>
      <c r="B71" s="4">
        <f t="shared" si="17"/>
        <v>4.6000000000000014</v>
      </c>
      <c r="C71" s="4">
        <v>0.4</v>
      </c>
      <c r="D71" s="122">
        <f t="shared" si="13"/>
        <v>0.121914050594331</v>
      </c>
      <c r="E71" s="4">
        <v>0.49</v>
      </c>
      <c r="F71" s="181">
        <f>(0.5*(B71-B70)+0.5*(B72-B71))*D71</f>
        <v>2.1334958854007848E-2</v>
      </c>
      <c r="G71" s="182">
        <f t="shared" si="19"/>
        <v>1.0454129838463845E-2</v>
      </c>
      <c r="H71" s="182">
        <f t="shared" si="16"/>
        <v>10.454129838463844</v>
      </c>
      <c r="I71" s="7"/>
      <c r="L71" s="183">
        <f t="shared" si="14"/>
        <v>2.8556858745537872E-2</v>
      </c>
    </row>
    <row r="72" spans="1:12" x14ac:dyDescent="0.25">
      <c r="A72" s="111">
        <v>19</v>
      </c>
      <c r="B72" s="111">
        <v>4.75</v>
      </c>
      <c r="C72" s="111">
        <v>0</v>
      </c>
      <c r="D72" s="111">
        <f t="shared" si="13"/>
        <v>0</v>
      </c>
      <c r="E72" s="34">
        <v>0</v>
      </c>
      <c r="F72" s="185">
        <f>AVERAGE(D71:D72)*0.5*(B72-B71)</f>
        <v>4.571776897287369E-3</v>
      </c>
      <c r="G72" s="193">
        <f>F72*0.5*E72</f>
        <v>0</v>
      </c>
      <c r="H72" s="193">
        <f t="shared" si="16"/>
        <v>0</v>
      </c>
      <c r="I72" s="205" t="s">
        <v>225</v>
      </c>
      <c r="L72" s="183">
        <f t="shared" si="14"/>
        <v>0</v>
      </c>
    </row>
    <row r="73" spans="1:12" x14ac:dyDescent="0.25">
      <c r="A73" s="194"/>
      <c r="B73" s="194"/>
      <c r="C73" s="194"/>
      <c r="D73" s="194"/>
      <c r="E73" s="89" t="s">
        <v>232</v>
      </c>
      <c r="F73" s="222">
        <f>SUM(F53:F72)</f>
        <v>0.60423651325815309</v>
      </c>
      <c r="G73" s="222">
        <f t="shared" ref="G73:H73" si="20">SUM(G53:G72)</f>
        <v>0.36608122523620856</v>
      </c>
      <c r="H73" s="223">
        <f t="shared" si="20"/>
        <v>366.08122523620864</v>
      </c>
      <c r="I73" s="206"/>
      <c r="K73" s="5">
        <f>H73*60/3.79</f>
        <v>5795.4811383040951</v>
      </c>
      <c r="L73" s="5" t="s">
        <v>227</v>
      </c>
    </row>
    <row r="74" spans="1:12" ht="4.5" customHeight="1" x14ac:dyDescent="0.25">
      <c r="F74" s="3"/>
      <c r="G74" s="3"/>
      <c r="H74" s="195"/>
      <c r="I74" s="208"/>
      <c r="K74" s="5">
        <f>K73/7.481/60</f>
        <v>12.911556249842032</v>
      </c>
      <c r="L74" s="5" t="s">
        <v>228</v>
      </c>
    </row>
    <row r="75" spans="1:12" x14ac:dyDescent="0.25">
      <c r="A75" s="5" t="s">
        <v>64</v>
      </c>
      <c r="F75" s="3"/>
      <c r="G75" s="3"/>
      <c r="H75" s="3"/>
      <c r="I75" s="7"/>
    </row>
    <row r="76" spans="1:12" x14ac:dyDescent="0.25">
      <c r="A76" s="5" t="s">
        <v>552</v>
      </c>
    </row>
    <row r="77" spans="1:12" x14ac:dyDescent="0.25">
      <c r="A77" s="5" t="s">
        <v>540</v>
      </c>
    </row>
    <row r="78" spans="1:12" x14ac:dyDescent="0.25">
      <c r="A78" s="5" t="s">
        <v>535</v>
      </c>
    </row>
    <row r="79" spans="1:12" x14ac:dyDescent="0.25">
      <c r="A79" s="5" t="s">
        <v>112</v>
      </c>
    </row>
    <row r="80" spans="1:12" x14ac:dyDescent="0.25">
      <c r="A80" s="5" t="s">
        <v>543</v>
      </c>
    </row>
    <row r="81" spans="1:1" x14ac:dyDescent="0.25">
      <c r="A81" s="5" t="s">
        <v>541</v>
      </c>
    </row>
    <row r="82" spans="1:1" x14ac:dyDescent="0.25">
      <c r="A82" s="5" t="s">
        <v>542</v>
      </c>
    </row>
  </sheetData>
  <pageMargins left="0.7" right="0.7" top="0.75" bottom="0.75" header="0.3" footer="0.3"/>
  <pageSetup orientation="portrait" r:id="rId1"/>
  <headerFooter>
    <oddFooter>&amp;L&amp;8ES102011123831RDD&amp;R&amp;8&amp;P OF &amp;N</oddFooter>
  </headerFooter>
  <rowBreaks count="1" manualBreakCount="1">
    <brk id="50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view="pageBreakPreview" zoomScaleNormal="55" zoomScaleSheetLayoutView="100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09375" defaultRowHeight="12" x14ac:dyDescent="0.25"/>
  <cols>
    <col min="1" max="1" width="8.5546875" style="5" customWidth="1"/>
    <col min="2" max="8" width="9.5546875" style="5" customWidth="1"/>
    <col min="9" max="9" width="12.88671875" style="203" customWidth="1"/>
    <col min="10" max="14" width="9.109375" style="5"/>
    <col min="15" max="15" width="24.109375" style="5" customWidth="1"/>
    <col min="16" max="16" width="13.88671875" style="5" customWidth="1"/>
    <col min="17" max="16384" width="9.109375" style="5"/>
  </cols>
  <sheetData>
    <row r="1" spans="1:12" s="212" customFormat="1" ht="15.75" customHeight="1" x14ac:dyDescent="0.3">
      <c r="A1" s="211" t="s">
        <v>583</v>
      </c>
      <c r="I1" s="211"/>
    </row>
    <row r="2" spans="1:12" s="12" customFormat="1" ht="13.5" customHeight="1" x14ac:dyDescent="0.3">
      <c r="A2" s="196" t="s">
        <v>0</v>
      </c>
      <c r="I2" s="202"/>
    </row>
    <row r="3" spans="1:12" ht="6.75" customHeight="1" x14ac:dyDescent="0.25">
      <c r="A3" s="178"/>
    </row>
    <row r="4" spans="1:12" s="137" customFormat="1" ht="26.25" customHeight="1" x14ac:dyDescent="0.3">
      <c r="A4" s="200" t="s">
        <v>220</v>
      </c>
      <c r="B4" s="200" t="s">
        <v>577</v>
      </c>
      <c r="C4" s="200" t="s">
        <v>578</v>
      </c>
      <c r="D4" s="200" t="s">
        <v>575</v>
      </c>
      <c r="E4" s="200" t="s">
        <v>579</v>
      </c>
      <c r="F4" s="200" t="s">
        <v>576</v>
      </c>
      <c r="G4" s="200" t="s">
        <v>580</v>
      </c>
      <c r="H4" s="200" t="s">
        <v>581</v>
      </c>
      <c r="I4" s="204" t="s">
        <v>582</v>
      </c>
    </row>
    <row r="5" spans="1:12" x14ac:dyDescent="0.25">
      <c r="A5" s="62" t="s">
        <v>230</v>
      </c>
    </row>
    <row r="6" spans="1:12" x14ac:dyDescent="0.25">
      <c r="A6" s="4">
        <v>0</v>
      </c>
      <c r="B6" s="4">
        <v>1.2</v>
      </c>
      <c r="C6" s="4">
        <v>0</v>
      </c>
      <c r="D6" s="4">
        <f>C6/3.281</f>
        <v>0</v>
      </c>
      <c r="E6" s="4">
        <v>0</v>
      </c>
      <c r="F6" s="182">
        <f>AVERAGE(D6:D7)*0.5*(B7-B6)</f>
        <v>1.0667479427003966E-2</v>
      </c>
      <c r="G6" s="181">
        <f>F6*0.5*E7</f>
        <v>5.3337397135019826E-4</v>
      </c>
      <c r="H6" s="122">
        <f>G6*1000</f>
        <v>0.53337397135019826</v>
      </c>
      <c r="I6" s="203" t="s">
        <v>225</v>
      </c>
      <c r="L6" s="183"/>
    </row>
    <row r="7" spans="1:12" x14ac:dyDescent="0.25">
      <c r="A7" s="4">
        <v>1</v>
      </c>
      <c r="B7" s="4">
        <v>1.55</v>
      </c>
      <c r="C7" s="4">
        <v>0.4</v>
      </c>
      <c r="D7" s="122">
        <f t="shared" ref="D7:D27" si="0">C7/3.281</f>
        <v>0.121914050594331</v>
      </c>
      <c r="E7" s="4">
        <v>0.1</v>
      </c>
      <c r="F7" s="181">
        <f>(0.5*(B7-B6)+0.5*(B8-B7))*D7</f>
        <v>3.6574215178299306E-2</v>
      </c>
      <c r="G7" s="184">
        <f>F7*E7</f>
        <v>3.657421517829931E-3</v>
      </c>
      <c r="H7" s="122">
        <f t="shared" ref="H7:H27" si="1">G7*1000</f>
        <v>3.6574215178299307</v>
      </c>
      <c r="L7" s="183"/>
    </row>
    <row r="8" spans="1:12" x14ac:dyDescent="0.25">
      <c r="A8" s="4">
        <v>2</v>
      </c>
      <c r="B8" s="4">
        <f t="shared" ref="B8:B14" si="2">B7+0.25</f>
        <v>1.8</v>
      </c>
      <c r="C8" s="4">
        <v>0.6</v>
      </c>
      <c r="D8" s="122">
        <f t="shared" si="0"/>
        <v>0.18287107589149648</v>
      </c>
      <c r="E8" s="4">
        <v>0.22</v>
      </c>
      <c r="F8" s="181">
        <f t="shared" ref="F8:F26" si="3">(0.5*(B8-B7)+0.5*(B9-B8))*D8</f>
        <v>4.57177689728741E-2</v>
      </c>
      <c r="G8" s="184">
        <f>F8*E8</f>
        <v>1.0057909174032303E-2</v>
      </c>
      <c r="H8" s="122">
        <f t="shared" si="1"/>
        <v>10.057909174032302</v>
      </c>
      <c r="L8" s="183"/>
    </row>
    <row r="9" spans="1:12" x14ac:dyDescent="0.25">
      <c r="A9" s="4">
        <v>3</v>
      </c>
      <c r="B9" s="4">
        <f t="shared" si="2"/>
        <v>2.0499999999999998</v>
      </c>
      <c r="C9" s="4">
        <v>0.85</v>
      </c>
      <c r="D9" s="122">
        <f t="shared" si="0"/>
        <v>0.25906735751295334</v>
      </c>
      <c r="E9" s="4">
        <v>0.37</v>
      </c>
      <c r="F9" s="181">
        <f t="shared" si="3"/>
        <v>6.4766839378238308E-2</v>
      </c>
      <c r="G9" s="184">
        <f t="shared" ref="G9:G25" si="4">F9*E9</f>
        <v>2.3963730569948175E-2</v>
      </c>
      <c r="H9" s="122">
        <f t="shared" si="1"/>
        <v>23.963730569948176</v>
      </c>
      <c r="L9" s="183"/>
    </row>
    <row r="10" spans="1:12" x14ac:dyDescent="0.25">
      <c r="A10" s="4">
        <v>4</v>
      </c>
      <c r="B10" s="4">
        <f t="shared" si="2"/>
        <v>2.2999999999999998</v>
      </c>
      <c r="C10" s="4">
        <v>0.9</v>
      </c>
      <c r="D10" s="122">
        <f t="shared" si="0"/>
        <v>0.27430661383724475</v>
      </c>
      <c r="E10" s="4">
        <v>0.21</v>
      </c>
      <c r="F10" s="181">
        <f t="shared" si="3"/>
        <v>6.8576653459311188E-2</v>
      </c>
      <c r="G10" s="184">
        <f>F10*E10</f>
        <v>1.4401097226455349E-2</v>
      </c>
      <c r="H10" s="122">
        <f t="shared" si="1"/>
        <v>14.401097226455349</v>
      </c>
      <c r="L10" s="183"/>
    </row>
    <row r="11" spans="1:12" x14ac:dyDescent="0.25">
      <c r="A11" s="4">
        <v>5</v>
      </c>
      <c r="B11" s="4">
        <f t="shared" si="2"/>
        <v>2.5499999999999998</v>
      </c>
      <c r="C11" s="4">
        <v>0.85</v>
      </c>
      <c r="D11" s="122">
        <f t="shared" si="0"/>
        <v>0.25906735751295334</v>
      </c>
      <c r="E11" s="4">
        <v>0.23</v>
      </c>
      <c r="F11" s="181">
        <f t="shared" si="3"/>
        <v>6.4766839378238336E-2</v>
      </c>
      <c r="G11" s="184">
        <f t="shared" si="4"/>
        <v>1.4896373056994818E-2</v>
      </c>
      <c r="H11" s="122">
        <f t="shared" si="1"/>
        <v>14.896373056994818</v>
      </c>
      <c r="L11" s="183"/>
    </row>
    <row r="12" spans="1:12" x14ac:dyDescent="0.25">
      <c r="A12" s="4">
        <v>6</v>
      </c>
      <c r="B12" s="4">
        <f t="shared" si="2"/>
        <v>2.8</v>
      </c>
      <c r="C12" s="4">
        <v>0.6</v>
      </c>
      <c r="D12" s="122">
        <f t="shared" si="0"/>
        <v>0.18287107589149648</v>
      </c>
      <c r="E12" s="4">
        <v>0.47</v>
      </c>
      <c r="F12" s="181">
        <f t="shared" si="3"/>
        <v>4.571776897287412E-2</v>
      </c>
      <c r="G12" s="184">
        <f t="shared" si="4"/>
        <v>2.1487351417250836E-2</v>
      </c>
      <c r="H12" s="122">
        <f t="shared" si="1"/>
        <v>21.487351417250835</v>
      </c>
      <c r="L12" s="183"/>
    </row>
    <row r="13" spans="1:12" x14ac:dyDescent="0.25">
      <c r="A13" s="4">
        <v>7</v>
      </c>
      <c r="B13" s="4">
        <f t="shared" si="2"/>
        <v>3.05</v>
      </c>
      <c r="C13" s="4">
        <v>0.75</v>
      </c>
      <c r="D13" s="122">
        <f t="shared" si="0"/>
        <v>0.22858884486437062</v>
      </c>
      <c r="E13" s="4">
        <v>0.46</v>
      </c>
      <c r="F13" s="181">
        <f t="shared" si="3"/>
        <v>5.7147211216092654E-2</v>
      </c>
      <c r="G13" s="184">
        <f t="shared" si="4"/>
        <v>2.6287717159402622E-2</v>
      </c>
      <c r="H13" s="122">
        <f t="shared" si="1"/>
        <v>26.287717159402622</v>
      </c>
      <c r="L13" s="183"/>
    </row>
    <row r="14" spans="1:12" x14ac:dyDescent="0.25">
      <c r="A14" s="4">
        <v>8</v>
      </c>
      <c r="B14" s="4">
        <f t="shared" si="2"/>
        <v>3.3</v>
      </c>
      <c r="C14" s="4">
        <v>0.65</v>
      </c>
      <c r="D14" s="122">
        <f t="shared" si="0"/>
        <v>0.19811033221578786</v>
      </c>
      <c r="E14" s="4">
        <v>0.38</v>
      </c>
      <c r="F14" s="181">
        <f t="shared" si="3"/>
        <v>4.9527583053946965E-2</v>
      </c>
      <c r="G14" s="184">
        <f t="shared" si="4"/>
        <v>1.8820481560499848E-2</v>
      </c>
      <c r="H14" s="122">
        <f t="shared" si="1"/>
        <v>18.820481560499847</v>
      </c>
      <c r="L14" s="183"/>
    </row>
    <row r="15" spans="1:12" x14ac:dyDescent="0.25">
      <c r="A15" s="4">
        <v>9</v>
      </c>
      <c r="B15" s="4">
        <f>B14+0.25</f>
        <v>3.55</v>
      </c>
      <c r="C15" s="4">
        <v>0.75</v>
      </c>
      <c r="D15" s="122">
        <f>C15/3.281</f>
        <v>0.22858884486437062</v>
      </c>
      <c r="E15" s="4">
        <v>0.4</v>
      </c>
      <c r="F15" s="181">
        <f t="shared" si="3"/>
        <v>5.7147211216092654E-2</v>
      </c>
      <c r="G15" s="184">
        <f t="shared" si="4"/>
        <v>2.2858884486437064E-2</v>
      </c>
      <c r="H15" s="122">
        <f t="shared" si="1"/>
        <v>22.858884486437063</v>
      </c>
      <c r="L15" s="183"/>
    </row>
    <row r="16" spans="1:12" x14ac:dyDescent="0.25">
      <c r="A16" s="4">
        <v>10</v>
      </c>
      <c r="B16" s="4">
        <f t="shared" ref="B16:B26" si="5">B15+0.25</f>
        <v>3.8</v>
      </c>
      <c r="C16" s="4">
        <v>0.9</v>
      </c>
      <c r="D16" s="122">
        <f t="shared" si="0"/>
        <v>0.27430661383724475</v>
      </c>
      <c r="E16" s="4">
        <v>0.38</v>
      </c>
      <c r="F16" s="181">
        <f t="shared" si="3"/>
        <v>6.8576653459311188E-2</v>
      </c>
      <c r="G16" s="184">
        <f t="shared" si="4"/>
        <v>2.605912831453825E-2</v>
      </c>
      <c r="H16" s="122">
        <f t="shared" si="1"/>
        <v>26.059128314538249</v>
      </c>
      <c r="L16" s="183"/>
    </row>
    <row r="17" spans="1:12" x14ac:dyDescent="0.25">
      <c r="A17" s="4">
        <v>11</v>
      </c>
      <c r="B17" s="4">
        <f t="shared" si="5"/>
        <v>4.05</v>
      </c>
      <c r="C17" s="4">
        <v>0.9</v>
      </c>
      <c r="D17" s="122">
        <f t="shared" si="0"/>
        <v>0.27430661383724475</v>
      </c>
      <c r="E17" s="4">
        <v>0.43</v>
      </c>
      <c r="F17" s="181">
        <f t="shared" si="3"/>
        <v>6.8576653459311188E-2</v>
      </c>
      <c r="G17" s="184">
        <f t="shared" si="4"/>
        <v>2.9487960987503812E-2</v>
      </c>
      <c r="H17" s="122">
        <f t="shared" si="1"/>
        <v>29.487960987503811</v>
      </c>
      <c r="L17" s="183"/>
    </row>
    <row r="18" spans="1:12" x14ac:dyDescent="0.25">
      <c r="A18" s="4">
        <v>12</v>
      </c>
      <c r="B18" s="4">
        <f t="shared" si="5"/>
        <v>4.3</v>
      </c>
      <c r="C18" s="4">
        <v>0.9</v>
      </c>
      <c r="D18" s="122">
        <f t="shared" si="0"/>
        <v>0.27430661383724475</v>
      </c>
      <c r="E18" s="4">
        <v>0.35</v>
      </c>
      <c r="F18" s="181">
        <f t="shared" si="3"/>
        <v>6.8576653459311188E-2</v>
      </c>
      <c r="G18" s="184">
        <f t="shared" si="4"/>
        <v>2.4001828710758913E-2</v>
      </c>
      <c r="H18" s="122">
        <f t="shared" si="1"/>
        <v>24.001828710758915</v>
      </c>
      <c r="L18" s="183"/>
    </row>
    <row r="19" spans="1:12" x14ac:dyDescent="0.25">
      <c r="A19" s="4">
        <v>13</v>
      </c>
      <c r="B19" s="4">
        <f t="shared" si="5"/>
        <v>4.55</v>
      </c>
      <c r="C19" s="4">
        <v>0.95</v>
      </c>
      <c r="D19" s="122">
        <f t="shared" si="0"/>
        <v>0.2895458701615361</v>
      </c>
      <c r="E19" s="4">
        <v>0.36</v>
      </c>
      <c r="F19" s="181">
        <f t="shared" si="3"/>
        <v>7.2386467540384025E-2</v>
      </c>
      <c r="G19" s="184">
        <f t="shared" si="4"/>
        <v>2.6059128314538247E-2</v>
      </c>
      <c r="H19" s="122">
        <f t="shared" si="1"/>
        <v>26.059128314538246</v>
      </c>
      <c r="L19" s="183"/>
    </row>
    <row r="20" spans="1:12" x14ac:dyDescent="0.25">
      <c r="A20" s="4">
        <v>14</v>
      </c>
      <c r="B20" s="4">
        <f t="shared" si="5"/>
        <v>4.8</v>
      </c>
      <c r="C20" s="4">
        <v>1</v>
      </c>
      <c r="D20" s="122">
        <f t="shared" si="0"/>
        <v>0.30478512648582745</v>
      </c>
      <c r="E20" s="4">
        <v>0.39</v>
      </c>
      <c r="F20" s="181">
        <f t="shared" si="3"/>
        <v>7.6196281621456863E-2</v>
      </c>
      <c r="G20" s="184">
        <f t="shared" si="4"/>
        <v>2.9716549832368176E-2</v>
      </c>
      <c r="H20" s="122">
        <f t="shared" si="1"/>
        <v>29.716549832368177</v>
      </c>
      <c r="L20" s="183"/>
    </row>
    <row r="21" spans="1:12" x14ac:dyDescent="0.25">
      <c r="A21" s="4">
        <v>15</v>
      </c>
      <c r="B21" s="4">
        <f t="shared" si="5"/>
        <v>5.05</v>
      </c>
      <c r="C21" s="4">
        <v>0.95</v>
      </c>
      <c r="D21" s="122">
        <f t="shared" si="0"/>
        <v>0.2895458701615361</v>
      </c>
      <c r="E21" s="4">
        <v>0.43</v>
      </c>
      <c r="F21" s="181">
        <f t="shared" si="3"/>
        <v>7.2386467540384025E-2</v>
      </c>
      <c r="G21" s="184">
        <f t="shared" si="4"/>
        <v>3.1126181042365132E-2</v>
      </c>
      <c r="H21" s="122">
        <f t="shared" si="1"/>
        <v>31.126181042365133</v>
      </c>
      <c r="L21" s="183"/>
    </row>
    <row r="22" spans="1:12" x14ac:dyDescent="0.25">
      <c r="A22" s="4">
        <v>16</v>
      </c>
      <c r="B22" s="4">
        <f t="shared" si="5"/>
        <v>5.3</v>
      </c>
      <c r="C22" s="4">
        <v>0.9</v>
      </c>
      <c r="D22" s="122">
        <f t="shared" si="0"/>
        <v>0.27430661383724475</v>
      </c>
      <c r="E22" s="4">
        <v>0.35</v>
      </c>
      <c r="F22" s="181">
        <f t="shared" si="3"/>
        <v>6.8576653459311188E-2</v>
      </c>
      <c r="G22" s="184">
        <f t="shared" si="4"/>
        <v>2.4001828710758913E-2</v>
      </c>
      <c r="H22" s="122">
        <f t="shared" si="1"/>
        <v>24.001828710758915</v>
      </c>
      <c r="L22" s="183"/>
    </row>
    <row r="23" spans="1:12" x14ac:dyDescent="0.25">
      <c r="A23" s="4">
        <v>17</v>
      </c>
      <c r="B23" s="4">
        <f t="shared" si="5"/>
        <v>5.55</v>
      </c>
      <c r="C23" s="4">
        <v>0.8</v>
      </c>
      <c r="D23" s="122">
        <f t="shared" si="0"/>
        <v>0.24382810118866199</v>
      </c>
      <c r="E23" s="4">
        <v>0.32</v>
      </c>
      <c r="F23" s="181">
        <f t="shared" si="3"/>
        <v>6.0957025297165499E-2</v>
      </c>
      <c r="G23" s="184">
        <f t="shared" si="4"/>
        <v>1.9506248095092962E-2</v>
      </c>
      <c r="H23" s="122">
        <f t="shared" si="1"/>
        <v>19.50624809509296</v>
      </c>
      <c r="L23" s="183"/>
    </row>
    <row r="24" spans="1:12" x14ac:dyDescent="0.25">
      <c r="A24" s="4">
        <v>18</v>
      </c>
      <c r="B24" s="4">
        <f t="shared" si="5"/>
        <v>5.8</v>
      </c>
      <c r="C24" s="4">
        <v>0.7</v>
      </c>
      <c r="D24" s="122">
        <f t="shared" si="0"/>
        <v>0.21334958854007921</v>
      </c>
      <c r="E24" s="4">
        <v>0.27</v>
      </c>
      <c r="F24" s="181">
        <f t="shared" si="3"/>
        <v>5.3337397135019803E-2</v>
      </c>
      <c r="G24" s="184">
        <f t="shared" si="4"/>
        <v>1.4401097226455347E-2</v>
      </c>
      <c r="H24" s="122">
        <f t="shared" si="1"/>
        <v>14.401097226455347</v>
      </c>
      <c r="L24" s="183"/>
    </row>
    <row r="25" spans="1:12" x14ac:dyDescent="0.25">
      <c r="A25" s="4">
        <v>19</v>
      </c>
      <c r="B25" s="4">
        <f t="shared" si="5"/>
        <v>6.05</v>
      </c>
      <c r="C25" s="4">
        <v>0.6</v>
      </c>
      <c r="D25" s="122">
        <f t="shared" si="0"/>
        <v>0.18287107589149648</v>
      </c>
      <c r="E25" s="4">
        <v>0.12</v>
      </c>
      <c r="F25" s="181">
        <f t="shared" si="3"/>
        <v>4.571776897287412E-2</v>
      </c>
      <c r="G25" s="184">
        <f t="shared" si="4"/>
        <v>5.4861322767448938E-3</v>
      </c>
      <c r="H25" s="122">
        <f t="shared" si="1"/>
        <v>5.4861322767448941</v>
      </c>
      <c r="L25" s="183"/>
    </row>
    <row r="26" spans="1:12" x14ac:dyDescent="0.25">
      <c r="A26" s="4">
        <v>20</v>
      </c>
      <c r="B26" s="4">
        <f t="shared" si="5"/>
        <v>6.3</v>
      </c>
      <c r="C26" s="4">
        <v>0.2</v>
      </c>
      <c r="D26" s="122">
        <f t="shared" si="0"/>
        <v>6.0957025297165499E-2</v>
      </c>
      <c r="E26" s="4">
        <v>0</v>
      </c>
      <c r="F26" s="181">
        <f t="shared" si="3"/>
        <v>1.0667479427003978E-2</v>
      </c>
      <c r="G26" s="184">
        <f>F26*E26</f>
        <v>0</v>
      </c>
      <c r="H26" s="122">
        <f t="shared" si="1"/>
        <v>0</v>
      </c>
      <c r="L26" s="183"/>
    </row>
    <row r="27" spans="1:12" x14ac:dyDescent="0.25">
      <c r="A27" s="111">
        <v>21</v>
      </c>
      <c r="B27" s="111">
        <v>6.4</v>
      </c>
      <c r="C27" s="111">
        <v>0</v>
      </c>
      <c r="D27" s="111">
        <f t="shared" si="0"/>
        <v>0</v>
      </c>
      <c r="E27" s="111">
        <v>0</v>
      </c>
      <c r="F27" s="193">
        <f>AVERAGE(D26:D27)*0.5*(B27-B26)</f>
        <v>1.5239256324291455E-3</v>
      </c>
      <c r="G27" s="185">
        <f>F27*0.5*E27</f>
        <v>0</v>
      </c>
      <c r="H27" s="125">
        <f t="shared" si="1"/>
        <v>0</v>
      </c>
      <c r="I27" s="205" t="s">
        <v>225</v>
      </c>
      <c r="L27" s="183"/>
    </row>
    <row r="28" spans="1:12" s="120" customFormat="1" ht="12" customHeight="1" x14ac:dyDescent="0.25">
      <c r="A28" s="225"/>
      <c r="B28" s="225"/>
      <c r="C28" s="225"/>
      <c r="D28" s="225"/>
      <c r="E28" s="89" t="s">
        <v>232</v>
      </c>
      <c r="F28" s="222">
        <f>SUM(F4:F26)</f>
        <v>1.1665650716245046</v>
      </c>
      <c r="G28" s="219">
        <f t="shared" ref="G28:H28" si="6">SUM(G4:G26)</f>
        <v>0.38681042365132573</v>
      </c>
      <c r="H28" s="223">
        <f t="shared" si="6"/>
        <v>386.81042365132583</v>
      </c>
      <c r="I28" s="224"/>
      <c r="K28" s="226"/>
    </row>
    <row r="29" spans="1:12" x14ac:dyDescent="0.25">
      <c r="A29" s="62" t="s">
        <v>231</v>
      </c>
      <c r="G29" s="209"/>
    </row>
    <row r="30" spans="1:12" ht="39.75" hidden="1" customHeight="1" thickBot="1" x14ac:dyDescent="0.3">
      <c r="A30" s="179" t="s">
        <v>220</v>
      </c>
      <c r="B30" s="179" t="s">
        <v>221</v>
      </c>
      <c r="C30" s="179" t="s">
        <v>222</v>
      </c>
      <c r="D30" s="179" t="s">
        <v>223</v>
      </c>
      <c r="E30" s="179" t="s">
        <v>224</v>
      </c>
      <c r="F30" s="179" t="s">
        <v>573</v>
      </c>
      <c r="G30" s="180" t="s">
        <v>574</v>
      </c>
      <c r="H30" s="179" t="s">
        <v>246</v>
      </c>
      <c r="I30" s="207" t="s">
        <v>124</v>
      </c>
    </row>
    <row r="31" spans="1:12" x14ac:dyDescent="0.25">
      <c r="A31" s="4">
        <v>0</v>
      </c>
      <c r="B31" s="4">
        <v>1.2</v>
      </c>
      <c r="C31" s="4">
        <v>0</v>
      </c>
      <c r="D31" s="4">
        <f>C31/3.281</f>
        <v>0</v>
      </c>
      <c r="E31" s="4">
        <v>0</v>
      </c>
      <c r="F31" s="181">
        <f>AVERAGE(D31:D32)*0.5*(B32-B31)</f>
        <v>3.8098140810728424E-3</v>
      </c>
      <c r="G31" s="181">
        <f>F31*0.5*E32</f>
        <v>-5.7147211216092631E-5</v>
      </c>
      <c r="H31" s="122">
        <f>G31*1000</f>
        <v>-5.7147211216092633E-2</v>
      </c>
      <c r="I31" s="203" t="s">
        <v>225</v>
      </c>
      <c r="L31" s="183"/>
    </row>
    <row r="32" spans="1:12" x14ac:dyDescent="0.25">
      <c r="A32" s="4">
        <v>1</v>
      </c>
      <c r="B32" s="4">
        <v>1.4</v>
      </c>
      <c r="C32" s="4">
        <v>0.25</v>
      </c>
      <c r="D32" s="122">
        <f t="shared" ref="D32:D52" si="7">C32/3.281</f>
        <v>7.6196281621456863E-2</v>
      </c>
      <c r="E32" s="4">
        <v>-0.03</v>
      </c>
      <c r="F32" s="181">
        <f t="shared" ref="F32:F51" si="8">(0.5*(B32-B31)+0.5*(B33-B32))*D32</f>
        <v>1.7144163364827793E-2</v>
      </c>
      <c r="G32" s="184">
        <f>F32*E32</f>
        <v>-5.1432490094483374E-4</v>
      </c>
      <c r="H32" s="122">
        <f t="shared" ref="H32:H52" si="9">G32*1000</f>
        <v>-0.51432490094483374</v>
      </c>
      <c r="L32" s="183"/>
    </row>
    <row r="33" spans="1:17" x14ac:dyDescent="0.25">
      <c r="A33" s="4">
        <v>2</v>
      </c>
      <c r="B33" s="4">
        <f t="shared" ref="B33:B51" si="10">B32+0.25</f>
        <v>1.65</v>
      </c>
      <c r="C33" s="4">
        <v>0.45</v>
      </c>
      <c r="D33" s="122">
        <f t="shared" si="7"/>
        <v>0.13715330691862238</v>
      </c>
      <c r="E33" s="4">
        <v>0.25</v>
      </c>
      <c r="F33" s="181">
        <f t="shared" si="8"/>
        <v>3.4288326729655594E-2</v>
      </c>
      <c r="G33" s="184">
        <f>F33*E33</f>
        <v>8.5720816824138985E-3</v>
      </c>
      <c r="H33" s="122">
        <f t="shared" si="9"/>
        <v>8.5720816824138986</v>
      </c>
      <c r="L33" s="183"/>
    </row>
    <row r="34" spans="1:17" x14ac:dyDescent="0.25">
      <c r="A34" s="4">
        <v>3</v>
      </c>
      <c r="B34" s="4">
        <f t="shared" si="10"/>
        <v>1.9</v>
      </c>
      <c r="C34" s="4">
        <v>0.7</v>
      </c>
      <c r="D34" s="122">
        <f t="shared" si="7"/>
        <v>0.21334958854007921</v>
      </c>
      <c r="E34" s="4">
        <v>0.15</v>
      </c>
      <c r="F34" s="181">
        <f t="shared" si="8"/>
        <v>5.3337397135019803E-2</v>
      </c>
      <c r="G34" s="184">
        <f t="shared" ref="G34:G51" si="11">F34*E34</f>
        <v>8.0006095702529704E-3</v>
      </c>
      <c r="H34" s="122">
        <f t="shared" si="9"/>
        <v>8.0006095702529709</v>
      </c>
      <c r="L34" s="183"/>
    </row>
    <row r="35" spans="1:17" x14ac:dyDescent="0.25">
      <c r="A35" s="4">
        <v>4</v>
      </c>
      <c r="B35" s="4">
        <f t="shared" si="10"/>
        <v>2.15</v>
      </c>
      <c r="C35" s="4">
        <v>0.95</v>
      </c>
      <c r="D35" s="122">
        <f t="shared" si="7"/>
        <v>0.2895458701615361</v>
      </c>
      <c r="E35" s="4">
        <v>0.28999999999999998</v>
      </c>
      <c r="F35" s="181">
        <f t="shared" si="8"/>
        <v>7.2386467540384025E-2</v>
      </c>
      <c r="G35" s="184">
        <f t="shared" si="11"/>
        <v>2.0992075586711366E-2</v>
      </c>
      <c r="H35" s="122">
        <f t="shared" si="9"/>
        <v>20.992075586711366</v>
      </c>
      <c r="L35" s="183"/>
    </row>
    <row r="36" spans="1:17" x14ac:dyDescent="0.25">
      <c r="A36" s="4">
        <v>5</v>
      </c>
      <c r="B36" s="4">
        <f t="shared" si="10"/>
        <v>2.4</v>
      </c>
      <c r="C36" s="4">
        <v>0.95</v>
      </c>
      <c r="D36" s="122">
        <f t="shared" si="7"/>
        <v>0.2895458701615361</v>
      </c>
      <c r="E36" s="4">
        <v>0.18</v>
      </c>
      <c r="F36" s="181">
        <f t="shared" si="8"/>
        <v>7.2386467540384025E-2</v>
      </c>
      <c r="G36" s="184">
        <f t="shared" si="11"/>
        <v>1.3029564157269123E-2</v>
      </c>
      <c r="H36" s="122">
        <f t="shared" si="9"/>
        <v>13.029564157269123</v>
      </c>
      <c r="L36" s="183"/>
    </row>
    <row r="37" spans="1:17" x14ac:dyDescent="0.25">
      <c r="A37" s="4">
        <v>6</v>
      </c>
      <c r="B37" s="4">
        <f t="shared" si="10"/>
        <v>2.65</v>
      </c>
      <c r="C37" s="4">
        <v>0.8</v>
      </c>
      <c r="D37" s="122">
        <f t="shared" si="7"/>
        <v>0.24382810118866199</v>
      </c>
      <c r="E37" s="4">
        <v>0.3</v>
      </c>
      <c r="F37" s="181">
        <f t="shared" si="8"/>
        <v>6.0957025297165499E-2</v>
      </c>
      <c r="G37" s="184">
        <f t="shared" si="11"/>
        <v>1.828710758914965E-2</v>
      </c>
      <c r="H37" s="122">
        <f t="shared" si="9"/>
        <v>18.287107589149649</v>
      </c>
      <c r="L37" s="183"/>
    </row>
    <row r="38" spans="1:17" x14ac:dyDescent="0.25">
      <c r="A38" s="4">
        <v>7</v>
      </c>
      <c r="B38" s="4">
        <f t="shared" si="10"/>
        <v>2.9</v>
      </c>
      <c r="C38" s="4">
        <v>0.7</v>
      </c>
      <c r="D38" s="122">
        <f t="shared" si="7"/>
        <v>0.21334958854007921</v>
      </c>
      <c r="E38" s="4">
        <v>0.42</v>
      </c>
      <c r="F38" s="181">
        <f t="shared" si="8"/>
        <v>5.3337397135019803E-2</v>
      </c>
      <c r="G38" s="184">
        <f t="shared" si="11"/>
        <v>2.2401706796708318E-2</v>
      </c>
      <c r="H38" s="122">
        <f t="shared" si="9"/>
        <v>22.401706796708318</v>
      </c>
      <c r="L38" s="183"/>
    </row>
    <row r="39" spans="1:17" x14ac:dyDescent="0.25">
      <c r="A39" s="4">
        <v>8</v>
      </c>
      <c r="B39" s="4">
        <f t="shared" si="10"/>
        <v>3.15</v>
      </c>
      <c r="C39" s="4">
        <v>0.85</v>
      </c>
      <c r="D39" s="122">
        <f t="shared" si="7"/>
        <v>0.25906735751295334</v>
      </c>
      <c r="E39" s="4">
        <v>0.46</v>
      </c>
      <c r="F39" s="181">
        <f t="shared" si="8"/>
        <v>6.4766839378238336E-2</v>
      </c>
      <c r="G39" s="184">
        <f t="shared" si="11"/>
        <v>2.9792746113989636E-2</v>
      </c>
      <c r="H39" s="122">
        <f t="shared" si="9"/>
        <v>29.792746113989637</v>
      </c>
      <c r="L39" s="183"/>
      <c r="O39" s="5" t="s">
        <v>234</v>
      </c>
      <c r="P39" s="191">
        <f>AVERAGE(H53,H28)</f>
        <v>392.98232246266389</v>
      </c>
    </row>
    <row r="40" spans="1:17" x14ac:dyDescent="0.25">
      <c r="A40" s="4">
        <v>9</v>
      </c>
      <c r="B40" s="4">
        <f t="shared" si="10"/>
        <v>3.4</v>
      </c>
      <c r="C40" s="4">
        <v>0.7</v>
      </c>
      <c r="D40" s="122">
        <f t="shared" si="7"/>
        <v>0.21334958854007921</v>
      </c>
      <c r="E40" s="4">
        <v>0.46</v>
      </c>
      <c r="F40" s="181">
        <f t="shared" si="8"/>
        <v>5.3337397135019803E-2</v>
      </c>
      <c r="G40" s="184">
        <f t="shared" si="11"/>
        <v>2.4535202682109111E-2</v>
      </c>
      <c r="H40" s="122">
        <f t="shared" si="9"/>
        <v>24.535202682109112</v>
      </c>
      <c r="L40" s="183"/>
      <c r="O40" s="5" t="s">
        <v>235</v>
      </c>
      <c r="P40" s="191">
        <f>ABS(H28-H53)</f>
        <v>12.34379762267605</v>
      </c>
    </row>
    <row r="41" spans="1:17" x14ac:dyDescent="0.25">
      <c r="A41" s="4">
        <v>10</v>
      </c>
      <c r="B41" s="4">
        <f t="shared" si="10"/>
        <v>3.65</v>
      </c>
      <c r="C41" s="4">
        <v>0.8</v>
      </c>
      <c r="D41" s="122">
        <f t="shared" si="7"/>
        <v>0.24382810118866199</v>
      </c>
      <c r="E41" s="4">
        <v>0.37</v>
      </c>
      <c r="F41" s="181">
        <f t="shared" si="8"/>
        <v>6.0957025297165499E-2</v>
      </c>
      <c r="G41" s="184">
        <f t="shared" si="11"/>
        <v>2.2554099359951233E-2</v>
      </c>
      <c r="H41" s="122">
        <f t="shared" si="9"/>
        <v>22.554099359951234</v>
      </c>
      <c r="L41" s="183"/>
      <c r="O41" s="5" t="s">
        <v>238</v>
      </c>
      <c r="P41" s="5">
        <f>P40/2</f>
        <v>6.1718988113380249</v>
      </c>
      <c r="Q41" s="192">
        <f>P41/P39</f>
        <v>1.5705283567620014E-2</v>
      </c>
    </row>
    <row r="42" spans="1:17" x14ac:dyDescent="0.25">
      <c r="A42" s="4">
        <v>11</v>
      </c>
      <c r="B42" s="4">
        <f t="shared" si="10"/>
        <v>3.9</v>
      </c>
      <c r="C42" s="4">
        <v>0.85</v>
      </c>
      <c r="D42" s="122">
        <f t="shared" si="7"/>
        <v>0.25906735751295334</v>
      </c>
      <c r="E42" s="4">
        <v>0.45</v>
      </c>
      <c r="F42" s="181">
        <f t="shared" si="8"/>
        <v>6.4766839378238392E-2</v>
      </c>
      <c r="G42" s="184">
        <f t="shared" si="11"/>
        <v>2.9145077720207278E-2</v>
      </c>
      <c r="H42" s="122">
        <f t="shared" si="9"/>
        <v>29.145077720207279</v>
      </c>
      <c r="L42" s="183"/>
      <c r="O42" s="5" t="s">
        <v>236</v>
      </c>
      <c r="P42" s="5">
        <f>P41/(SQRT(2))</f>
        <v>4.3641915022943092</v>
      </c>
      <c r="Q42" s="192">
        <f>P42/P39</f>
        <v>1.1105312511121766E-2</v>
      </c>
    </row>
    <row r="43" spans="1:17" x14ac:dyDescent="0.25">
      <c r="A43" s="4">
        <v>12</v>
      </c>
      <c r="B43" s="4">
        <f t="shared" si="10"/>
        <v>4.1500000000000004</v>
      </c>
      <c r="C43" s="4">
        <v>0.9</v>
      </c>
      <c r="D43" s="122">
        <f t="shared" si="7"/>
        <v>0.27430661383724475</v>
      </c>
      <c r="E43" s="4">
        <v>0.37</v>
      </c>
      <c r="F43" s="181">
        <f t="shared" si="8"/>
        <v>6.8576653459311243E-2</v>
      </c>
      <c r="G43" s="184">
        <f t="shared" si="11"/>
        <v>2.5373361779945161E-2</v>
      </c>
      <c r="H43" s="122">
        <f t="shared" si="9"/>
        <v>25.37336177994516</v>
      </c>
      <c r="L43" s="183"/>
      <c r="O43" s="5" t="s">
        <v>240</v>
      </c>
      <c r="P43" s="5">
        <f>STDEV(H53,H28)</f>
        <v>8.7283830045886184</v>
      </c>
      <c r="Q43" s="192">
        <f>P43/P39</f>
        <v>2.2210625022243531E-2</v>
      </c>
    </row>
    <row r="44" spans="1:17" x14ac:dyDescent="0.25">
      <c r="A44" s="4">
        <v>13</v>
      </c>
      <c r="B44" s="4">
        <f t="shared" si="10"/>
        <v>4.4000000000000004</v>
      </c>
      <c r="C44" s="4">
        <v>0.95</v>
      </c>
      <c r="D44" s="122">
        <f t="shared" si="7"/>
        <v>0.2895458701615361</v>
      </c>
      <c r="E44" s="4">
        <v>0.36</v>
      </c>
      <c r="F44" s="181">
        <f t="shared" si="8"/>
        <v>7.2386467540384025E-2</v>
      </c>
      <c r="G44" s="184">
        <f t="shared" si="11"/>
        <v>2.6059128314538247E-2</v>
      </c>
      <c r="H44" s="122">
        <f t="shared" si="9"/>
        <v>26.059128314538246</v>
      </c>
      <c r="L44" s="183"/>
    </row>
    <row r="45" spans="1:17" x14ac:dyDescent="0.25">
      <c r="A45" s="4">
        <v>14</v>
      </c>
      <c r="B45" s="4">
        <f t="shared" si="10"/>
        <v>4.6500000000000004</v>
      </c>
      <c r="C45" s="4">
        <v>1</v>
      </c>
      <c r="D45" s="122">
        <f t="shared" si="7"/>
        <v>0.30478512648582745</v>
      </c>
      <c r="E45" s="4">
        <v>0.41</v>
      </c>
      <c r="F45" s="181">
        <f t="shared" si="8"/>
        <v>7.6196281621456863E-2</v>
      </c>
      <c r="G45" s="184">
        <f t="shared" si="11"/>
        <v>3.1240475464797312E-2</v>
      </c>
      <c r="H45" s="122">
        <f t="shared" si="9"/>
        <v>31.240475464797314</v>
      </c>
      <c r="L45" s="183"/>
      <c r="O45" s="5" t="s">
        <v>239</v>
      </c>
    </row>
    <row r="46" spans="1:17" x14ac:dyDescent="0.25">
      <c r="A46" s="4">
        <v>15</v>
      </c>
      <c r="B46" s="4">
        <f t="shared" si="10"/>
        <v>4.9000000000000004</v>
      </c>
      <c r="C46" s="4">
        <v>1.05</v>
      </c>
      <c r="D46" s="122">
        <f t="shared" si="7"/>
        <v>0.32002438281011886</v>
      </c>
      <c r="E46" s="4">
        <v>0.42</v>
      </c>
      <c r="F46" s="181">
        <f t="shared" si="8"/>
        <v>8.0006095702529714E-2</v>
      </c>
      <c r="G46" s="184">
        <f t="shared" si="11"/>
        <v>3.3602560195062477E-2</v>
      </c>
      <c r="H46" s="122">
        <f t="shared" si="9"/>
        <v>33.602560195062473</v>
      </c>
      <c r="L46" s="183"/>
    </row>
    <row r="47" spans="1:17" x14ac:dyDescent="0.25">
      <c r="A47" s="4">
        <v>16</v>
      </c>
      <c r="B47" s="4">
        <f t="shared" si="10"/>
        <v>5.15</v>
      </c>
      <c r="C47" s="4">
        <v>0.95</v>
      </c>
      <c r="D47" s="122">
        <f t="shared" si="7"/>
        <v>0.2895458701615361</v>
      </c>
      <c r="E47" s="4">
        <v>0.44</v>
      </c>
      <c r="F47" s="181">
        <f t="shared" si="8"/>
        <v>7.2386467540384025E-2</v>
      </c>
      <c r="G47" s="184">
        <f t="shared" si="11"/>
        <v>3.185004571776897E-2</v>
      </c>
      <c r="H47" s="122">
        <f t="shared" si="9"/>
        <v>31.850045717768971</v>
      </c>
      <c r="L47" s="183"/>
    </row>
    <row r="48" spans="1:17" x14ac:dyDescent="0.25">
      <c r="A48" s="4">
        <v>17</v>
      </c>
      <c r="B48" s="4">
        <f t="shared" si="10"/>
        <v>5.4</v>
      </c>
      <c r="C48" s="4">
        <v>0.9</v>
      </c>
      <c r="D48" s="122">
        <f t="shared" si="7"/>
        <v>0.27430661383724475</v>
      </c>
      <c r="E48" s="4">
        <v>0.32</v>
      </c>
      <c r="F48" s="181">
        <f t="shared" si="8"/>
        <v>6.8576653459311188E-2</v>
      </c>
      <c r="G48" s="184">
        <f t="shared" si="11"/>
        <v>2.1944529106979579E-2</v>
      </c>
      <c r="H48" s="122">
        <f t="shared" si="9"/>
        <v>21.94452910697958</v>
      </c>
      <c r="L48" s="183"/>
    </row>
    <row r="49" spans="1:13" x14ac:dyDescent="0.25">
      <c r="A49" s="4">
        <v>18</v>
      </c>
      <c r="B49" s="4">
        <f t="shared" si="10"/>
        <v>5.65</v>
      </c>
      <c r="C49" s="4">
        <v>0.7</v>
      </c>
      <c r="D49" s="122">
        <f t="shared" si="7"/>
        <v>0.21334958854007921</v>
      </c>
      <c r="E49" s="4">
        <v>0.39</v>
      </c>
      <c r="F49" s="181">
        <f t="shared" si="8"/>
        <v>5.3337397135019803E-2</v>
      </c>
      <c r="G49" s="184">
        <f t="shared" si="11"/>
        <v>2.0801584882657723E-2</v>
      </c>
      <c r="H49" s="122">
        <f t="shared" si="9"/>
        <v>20.801584882657721</v>
      </c>
      <c r="L49" s="183"/>
    </row>
    <row r="50" spans="1:13" x14ac:dyDescent="0.25">
      <c r="A50" s="4">
        <v>19</v>
      </c>
      <c r="B50" s="4">
        <f t="shared" si="10"/>
        <v>5.9</v>
      </c>
      <c r="C50" s="4">
        <v>0.65</v>
      </c>
      <c r="D50" s="122">
        <f t="shared" si="7"/>
        <v>0.19811033221578786</v>
      </c>
      <c r="E50" s="4">
        <v>0.19</v>
      </c>
      <c r="F50" s="181">
        <f t="shared" si="8"/>
        <v>4.9527583053946965E-2</v>
      </c>
      <c r="G50" s="184">
        <f t="shared" si="11"/>
        <v>9.410240780249924E-3</v>
      </c>
      <c r="H50" s="122">
        <f t="shared" si="9"/>
        <v>9.4102407802499233</v>
      </c>
      <c r="L50" s="183"/>
    </row>
    <row r="51" spans="1:13" x14ac:dyDescent="0.25">
      <c r="A51" s="4">
        <v>20</v>
      </c>
      <c r="B51" s="4">
        <f t="shared" si="10"/>
        <v>6.15</v>
      </c>
      <c r="C51" s="4">
        <v>0.4</v>
      </c>
      <c r="D51" s="122">
        <f t="shared" si="7"/>
        <v>0.121914050594331</v>
      </c>
      <c r="E51" s="4">
        <v>7.0000000000000007E-2</v>
      </c>
      <c r="F51" s="181">
        <f t="shared" si="8"/>
        <v>3.0478512648582749E-2</v>
      </c>
      <c r="G51" s="184">
        <f t="shared" si="11"/>
        <v>2.1334958854007926E-3</v>
      </c>
      <c r="H51" s="122">
        <f t="shared" si="9"/>
        <v>2.1334958854007926</v>
      </c>
      <c r="L51" s="183"/>
    </row>
    <row r="52" spans="1:13" x14ac:dyDescent="0.25">
      <c r="A52" s="104">
        <v>21</v>
      </c>
      <c r="B52" s="104">
        <v>6.4</v>
      </c>
      <c r="C52" s="104">
        <v>0</v>
      </c>
      <c r="D52" s="104">
        <f t="shared" si="7"/>
        <v>0</v>
      </c>
      <c r="E52" s="104">
        <v>0</v>
      </c>
      <c r="F52" s="45">
        <f>AVERAGE(D51:D52)*0.5*(B52-B51)</f>
        <v>7.6196281621456873E-3</v>
      </c>
      <c r="G52" s="213">
        <f>F52*0.5*E51</f>
        <v>2.6668698567509908E-4</v>
      </c>
      <c r="H52" s="126">
        <f t="shared" si="9"/>
        <v>0.26668698567509908</v>
      </c>
      <c r="I52" s="217" t="s">
        <v>225</v>
      </c>
      <c r="L52" s="183"/>
    </row>
    <row r="53" spans="1:13" s="120" customFormat="1" ht="12" customHeight="1" x14ac:dyDescent="0.25">
      <c r="A53" s="225"/>
      <c r="B53" s="225"/>
      <c r="C53" s="225"/>
      <c r="D53" s="225"/>
      <c r="E53" s="89" t="s">
        <v>232</v>
      </c>
      <c r="F53" s="222">
        <f>SUM(F31:F51)</f>
        <v>1.1829472721731178</v>
      </c>
      <c r="G53" s="222">
        <f t="shared" ref="G53:H53" si="12">SUM(G31:G51)</f>
        <v>0.3991542212740018</v>
      </c>
      <c r="H53" s="223">
        <f t="shared" si="12"/>
        <v>399.15422127400188</v>
      </c>
      <c r="I53" s="224"/>
    </row>
    <row r="54" spans="1:13" x14ac:dyDescent="0.25">
      <c r="A54" s="98" t="s">
        <v>64</v>
      </c>
      <c r="B54" s="197"/>
      <c r="C54" s="197"/>
      <c r="D54" s="197"/>
      <c r="E54" s="197"/>
      <c r="F54" s="197"/>
      <c r="G54" s="197"/>
      <c r="H54" s="197"/>
      <c r="I54" s="218"/>
    </row>
    <row r="55" spans="1:13" x14ac:dyDescent="0.25">
      <c r="A55" s="165" t="s">
        <v>552</v>
      </c>
      <c r="B55" s="165"/>
      <c r="C55" s="165"/>
      <c r="D55" s="165" t="s">
        <v>543</v>
      </c>
      <c r="E55" s="165"/>
      <c r="F55" s="98"/>
      <c r="G55" s="98"/>
      <c r="H55" s="98"/>
      <c r="I55" s="217"/>
    </row>
    <row r="56" spans="1:13" ht="13.8" x14ac:dyDescent="0.25">
      <c r="A56" s="165" t="s">
        <v>540</v>
      </c>
      <c r="B56" s="227"/>
      <c r="C56" s="227"/>
      <c r="D56" s="165" t="s">
        <v>584</v>
      </c>
      <c r="E56" s="227"/>
      <c r="F56" s="45"/>
      <c r="G56" s="45"/>
      <c r="H56" s="45"/>
      <c r="I56" s="6"/>
      <c r="L56" s="183"/>
    </row>
    <row r="57" spans="1:13" ht="13.8" x14ac:dyDescent="0.25">
      <c r="A57" s="165" t="s">
        <v>535</v>
      </c>
      <c r="B57" s="227"/>
      <c r="C57" s="227"/>
      <c r="D57" s="165" t="s">
        <v>585</v>
      </c>
      <c r="E57" s="227"/>
      <c r="F57" s="213"/>
      <c r="G57" s="45"/>
      <c r="H57" s="45"/>
      <c r="I57" s="6"/>
      <c r="L57" s="183"/>
    </row>
    <row r="58" spans="1:13" x14ac:dyDescent="0.25">
      <c r="A58" s="165" t="s">
        <v>112</v>
      </c>
      <c r="B58" s="227"/>
      <c r="C58" s="227"/>
      <c r="D58" s="228"/>
      <c r="E58" s="227"/>
      <c r="F58" s="213"/>
      <c r="G58" s="45"/>
      <c r="H58" s="45"/>
      <c r="I58" s="6"/>
      <c r="L58" s="183"/>
    </row>
    <row r="59" spans="1:13" x14ac:dyDescent="0.25">
      <c r="B59" s="104"/>
      <c r="C59" s="104"/>
      <c r="D59" s="126"/>
      <c r="E59" s="104"/>
      <c r="F59" s="213"/>
      <c r="G59" s="45"/>
      <c r="H59" s="45"/>
      <c r="I59" s="6"/>
      <c r="L59" s="183"/>
    </row>
    <row r="60" spans="1:13" x14ac:dyDescent="0.25">
      <c r="B60" s="104"/>
      <c r="C60" s="104"/>
      <c r="D60" s="126"/>
      <c r="E60" s="104"/>
      <c r="F60" s="213"/>
      <c r="G60" s="45"/>
      <c r="H60" s="45"/>
      <c r="I60" s="6"/>
      <c r="L60" s="183"/>
      <c r="M60" s="5" t="s">
        <v>241</v>
      </c>
    </row>
    <row r="61" spans="1:13" x14ac:dyDescent="0.25">
      <c r="B61" s="104"/>
      <c r="C61" s="104"/>
      <c r="D61" s="126"/>
      <c r="E61" s="104"/>
      <c r="F61" s="213"/>
      <c r="G61" s="45"/>
      <c r="H61" s="45"/>
      <c r="I61" s="6"/>
      <c r="L61" s="183"/>
    </row>
    <row r="62" spans="1:13" x14ac:dyDescent="0.25">
      <c r="A62" s="4"/>
      <c r="B62" s="4"/>
      <c r="C62" s="4"/>
      <c r="D62" s="122"/>
      <c r="E62" s="4"/>
      <c r="F62" s="181"/>
      <c r="G62" s="182"/>
      <c r="H62" s="182"/>
      <c r="I62" s="7"/>
      <c r="L62" s="183"/>
    </row>
    <row r="63" spans="1:13" x14ac:dyDescent="0.25">
      <c r="A63" s="4"/>
      <c r="B63" s="4"/>
      <c r="C63" s="4"/>
      <c r="D63" s="122"/>
      <c r="E63" s="4"/>
      <c r="F63" s="181"/>
      <c r="G63" s="182"/>
      <c r="H63" s="182"/>
      <c r="I63" s="7"/>
      <c r="L63" s="183"/>
    </row>
    <row r="64" spans="1:13" x14ac:dyDescent="0.25">
      <c r="A64" s="4"/>
      <c r="B64" s="4"/>
      <c r="C64" s="4"/>
      <c r="D64" s="122"/>
      <c r="E64" s="4"/>
      <c r="F64" s="181"/>
      <c r="G64" s="182"/>
      <c r="H64" s="182"/>
      <c r="I64" s="7"/>
      <c r="L64" s="183"/>
    </row>
    <row r="65" spans="1:12" x14ac:dyDescent="0.25">
      <c r="A65" s="4"/>
      <c r="B65" s="4"/>
      <c r="C65" s="4"/>
      <c r="D65" s="122"/>
      <c r="E65" s="4"/>
      <c r="F65" s="181"/>
      <c r="G65" s="182"/>
      <c r="H65" s="182"/>
      <c r="I65" s="7"/>
      <c r="L65" s="183"/>
    </row>
    <row r="66" spans="1:12" x14ac:dyDescent="0.25">
      <c r="A66" s="4"/>
      <c r="B66" s="4"/>
      <c r="C66" s="4"/>
      <c r="D66" s="122"/>
      <c r="E66" s="4"/>
      <c r="F66" s="181"/>
      <c r="G66" s="182"/>
      <c r="H66" s="182"/>
      <c r="I66" s="7"/>
      <c r="L66" s="183"/>
    </row>
    <row r="67" spans="1:12" x14ac:dyDescent="0.25">
      <c r="A67" s="4"/>
      <c r="B67" s="4"/>
      <c r="C67" s="4"/>
      <c r="D67" s="122"/>
      <c r="E67" s="4"/>
      <c r="F67" s="181"/>
      <c r="G67" s="182"/>
      <c r="H67" s="182"/>
      <c r="I67" s="7"/>
      <c r="L67" s="183"/>
    </row>
    <row r="68" spans="1:12" x14ac:dyDescent="0.25">
      <c r="A68" s="4"/>
      <c r="B68" s="4"/>
      <c r="C68" s="4"/>
      <c r="D68" s="122"/>
      <c r="E68" s="4"/>
      <c r="F68" s="181"/>
      <c r="G68" s="182"/>
      <c r="H68" s="182"/>
      <c r="I68" s="7"/>
      <c r="L68" s="183"/>
    </row>
    <row r="69" spans="1:12" x14ac:dyDescent="0.25">
      <c r="A69" s="4"/>
      <c r="B69" s="4"/>
      <c r="C69" s="4"/>
      <c r="D69" s="122"/>
      <c r="E69" s="4"/>
      <c r="F69" s="181"/>
      <c r="G69" s="182"/>
      <c r="H69" s="182"/>
      <c r="I69" s="7"/>
      <c r="L69" s="183"/>
    </row>
    <row r="70" spans="1:12" x14ac:dyDescent="0.25">
      <c r="A70" s="4"/>
      <c r="B70" s="4"/>
      <c r="C70" s="4"/>
      <c r="D70" s="122"/>
      <c r="E70" s="4"/>
      <c r="F70" s="181"/>
      <c r="G70" s="182"/>
      <c r="H70" s="182"/>
      <c r="I70" s="7"/>
      <c r="L70" s="183"/>
    </row>
    <row r="71" spans="1:12" x14ac:dyDescent="0.25">
      <c r="A71" s="4"/>
      <c r="B71" s="4"/>
      <c r="C71" s="4"/>
      <c r="D71" s="122"/>
      <c r="E71" s="4"/>
      <c r="F71" s="181"/>
      <c r="G71" s="182"/>
      <c r="H71" s="182"/>
      <c r="I71" s="7"/>
      <c r="L71" s="183"/>
    </row>
    <row r="72" spans="1:12" x14ac:dyDescent="0.25">
      <c r="A72" s="4"/>
      <c r="B72" s="4"/>
      <c r="C72" s="4"/>
      <c r="D72" s="122"/>
      <c r="E72" s="4"/>
      <c r="F72" s="181"/>
      <c r="G72" s="182"/>
      <c r="H72" s="182"/>
      <c r="I72" s="7"/>
      <c r="L72" s="183"/>
    </row>
    <row r="73" spans="1:12" x14ac:dyDescent="0.25">
      <c r="A73" s="4"/>
      <c r="B73" s="4"/>
      <c r="C73" s="4"/>
      <c r="D73" s="122"/>
      <c r="E73" s="4"/>
      <c r="F73" s="181"/>
      <c r="G73" s="182"/>
      <c r="H73" s="182"/>
      <c r="I73" s="7"/>
      <c r="L73" s="183"/>
    </row>
    <row r="74" spans="1:12" x14ac:dyDescent="0.25">
      <c r="A74" s="4"/>
      <c r="B74" s="4"/>
      <c r="C74" s="4"/>
      <c r="D74" s="122"/>
      <c r="E74" s="4"/>
      <c r="F74" s="181"/>
      <c r="G74" s="182"/>
      <c r="H74" s="182"/>
      <c r="I74" s="7"/>
      <c r="L74" s="183"/>
    </row>
    <row r="75" spans="1:12" x14ac:dyDescent="0.25">
      <c r="A75" s="111"/>
      <c r="B75" s="111"/>
      <c r="C75" s="111"/>
      <c r="D75" s="111"/>
      <c r="E75" s="34"/>
      <c r="F75" s="185"/>
      <c r="G75" s="193"/>
      <c r="H75" s="193"/>
      <c r="I75" s="205"/>
      <c r="L75" s="183"/>
    </row>
    <row r="76" spans="1:12" ht="19.5" customHeight="1" thickBot="1" x14ac:dyDescent="0.3">
      <c r="E76" s="179"/>
      <c r="F76" s="179"/>
      <c r="G76" s="179"/>
      <c r="H76" s="179"/>
      <c r="L76" s="183"/>
    </row>
    <row r="77" spans="1:12" x14ac:dyDescent="0.25">
      <c r="F77" s="195"/>
      <c r="G77" s="195"/>
      <c r="H77" s="210"/>
    </row>
    <row r="78" spans="1:12" x14ac:dyDescent="0.25">
      <c r="F78" s="3"/>
      <c r="G78" s="3"/>
      <c r="H78" s="195"/>
      <c r="I78" s="208"/>
    </row>
    <row r="79" spans="1:12" x14ac:dyDescent="0.25">
      <c r="F79" s="3"/>
      <c r="G79" s="3"/>
      <c r="H79" s="3"/>
      <c r="I79" s="7"/>
    </row>
  </sheetData>
  <pageMargins left="0.7" right="0.7" top="0.75" bottom="0.75" header="0.3" footer="0.3"/>
  <pageSetup scale="95" orientation="portrait" r:id="rId1"/>
  <headerFooter>
    <oddFooter>&amp;L&amp;8ES102011123831RDD&amp;R&amp;8&amp;P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view="pageBreakPreview" zoomScale="115" zoomScaleNormal="55" zoomScaleSheetLayoutView="115" workbookViewId="0">
      <pane xSplit="1" ySplit="4" topLeftCell="B4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09375" defaultRowHeight="12" x14ac:dyDescent="0.25"/>
  <cols>
    <col min="1" max="1" width="10.44140625" style="5" customWidth="1"/>
    <col min="2" max="8" width="9.44140625" style="5" customWidth="1"/>
    <col min="9" max="9" width="11.5546875" style="203" customWidth="1"/>
    <col min="10" max="14" width="9.109375" style="5"/>
    <col min="15" max="15" width="32.6640625" style="5" customWidth="1"/>
    <col min="16" max="16" width="13.88671875" style="5" customWidth="1"/>
    <col min="17" max="16384" width="9.109375" style="5"/>
  </cols>
  <sheetData>
    <row r="1" spans="1:12" s="12" customFormat="1" ht="13.8" x14ac:dyDescent="0.3">
      <c r="A1" s="211" t="s">
        <v>586</v>
      </c>
      <c r="I1" s="202"/>
    </row>
    <row r="2" spans="1:12" s="12" customFormat="1" ht="13.8" x14ac:dyDescent="0.3">
      <c r="A2" s="196" t="s">
        <v>0</v>
      </c>
      <c r="I2" s="202"/>
    </row>
    <row r="3" spans="1:12" ht="5.25" customHeight="1" x14ac:dyDescent="0.25">
      <c r="A3" s="178"/>
    </row>
    <row r="4" spans="1:12" s="137" customFormat="1" ht="27.75" customHeight="1" x14ac:dyDescent="0.3">
      <c r="A4" s="200" t="s">
        <v>220</v>
      </c>
      <c r="B4" s="200" t="s">
        <v>577</v>
      </c>
      <c r="C4" s="200" t="s">
        <v>578</v>
      </c>
      <c r="D4" s="200" t="s">
        <v>575</v>
      </c>
      <c r="E4" s="200" t="s">
        <v>579</v>
      </c>
      <c r="F4" s="200" t="s">
        <v>576</v>
      </c>
      <c r="G4" s="200" t="s">
        <v>580</v>
      </c>
      <c r="H4" s="200" t="s">
        <v>581</v>
      </c>
      <c r="I4" s="204" t="s">
        <v>582</v>
      </c>
    </row>
    <row r="5" spans="1:12" x14ac:dyDescent="0.25">
      <c r="A5" s="62" t="s">
        <v>230</v>
      </c>
    </row>
    <row r="6" spans="1:12" x14ac:dyDescent="0.25">
      <c r="A6" s="4">
        <v>0</v>
      </c>
      <c r="B6" s="4">
        <v>3.5</v>
      </c>
      <c r="C6" s="4">
        <v>0</v>
      </c>
      <c r="D6" s="4">
        <f>C6/3.281</f>
        <v>0</v>
      </c>
      <c r="E6" s="4">
        <v>0</v>
      </c>
      <c r="F6" s="182">
        <f>AVERAGE(D6:D7)*0.5*(B7-B6)</f>
        <v>3.0478512648582775E-3</v>
      </c>
      <c r="G6" s="181">
        <f>F6*0.5*E7</f>
        <v>-3.0478512648582776E-5</v>
      </c>
      <c r="H6" s="122">
        <f>G6*1000</f>
        <v>-3.0478512648582777E-2</v>
      </c>
      <c r="I6" s="203" t="s">
        <v>225</v>
      </c>
      <c r="L6" s="183"/>
    </row>
    <row r="7" spans="1:12" x14ac:dyDescent="0.25">
      <c r="A7" s="4">
        <v>1</v>
      </c>
      <c r="B7" s="4">
        <v>3.6</v>
      </c>
      <c r="C7" s="4">
        <v>0.4</v>
      </c>
      <c r="D7" s="122">
        <f t="shared" ref="D7:D27" si="0">C7/3.281</f>
        <v>0.121914050594331</v>
      </c>
      <c r="E7" s="4">
        <v>-0.02</v>
      </c>
      <c r="F7" s="181">
        <f>(0.5*(B7-B6)+0.5*(B8-B7))*D7</f>
        <v>1.5239256324291375E-2</v>
      </c>
      <c r="G7" s="184">
        <f>F7*E7</f>
        <v>-3.0478512648582753E-4</v>
      </c>
      <c r="H7" s="122">
        <f t="shared" ref="H7:H27" si="1">G7*1000</f>
        <v>-0.30478512648582751</v>
      </c>
      <c r="L7" s="183"/>
    </row>
    <row r="8" spans="1:12" x14ac:dyDescent="0.25">
      <c r="A8" s="4">
        <v>2</v>
      </c>
      <c r="B8" s="4">
        <f>B7+0.15</f>
        <v>3.75</v>
      </c>
      <c r="C8" s="4">
        <v>0.4</v>
      </c>
      <c r="D8" s="122">
        <f t="shared" si="0"/>
        <v>0.121914050594331</v>
      </c>
      <c r="E8" s="4">
        <v>0.01</v>
      </c>
      <c r="F8" s="181">
        <f t="shared" ref="F8:F26" si="2">(0.5*(B8-B7)+0.5*(B9-B8))*D8</f>
        <v>1.8287107589149639E-2</v>
      </c>
      <c r="G8" s="184">
        <f>F8*E8</f>
        <v>1.8287107589149641E-4</v>
      </c>
      <c r="H8" s="122">
        <f t="shared" si="1"/>
        <v>0.1828710758914964</v>
      </c>
      <c r="L8" s="183"/>
    </row>
    <row r="9" spans="1:12" x14ac:dyDescent="0.25">
      <c r="A9" s="4">
        <v>3</v>
      </c>
      <c r="B9" s="4">
        <f t="shared" ref="B9:B26" si="3">B8+0.15</f>
        <v>3.9</v>
      </c>
      <c r="C9" s="4">
        <v>0.6</v>
      </c>
      <c r="D9" s="122">
        <f t="shared" si="0"/>
        <v>0.18287107589149648</v>
      </c>
      <c r="E9" s="4">
        <v>-0.01</v>
      </c>
      <c r="F9" s="181">
        <f t="shared" si="2"/>
        <v>2.7430661383724457E-2</v>
      </c>
      <c r="G9" s="184">
        <f t="shared" ref="G9:G25" si="4">F9*E9</f>
        <v>-2.7430661383724458E-4</v>
      </c>
      <c r="H9" s="122">
        <f t="shared" si="1"/>
        <v>-0.27430661383724458</v>
      </c>
      <c r="L9" s="183"/>
    </row>
    <row r="10" spans="1:12" x14ac:dyDescent="0.25">
      <c r="A10" s="4">
        <v>4</v>
      </c>
      <c r="B10" s="4">
        <f t="shared" si="3"/>
        <v>4.05</v>
      </c>
      <c r="C10" s="4">
        <v>0.55000000000000004</v>
      </c>
      <c r="D10" s="122">
        <f t="shared" si="0"/>
        <v>0.16763181956720513</v>
      </c>
      <c r="E10" s="4">
        <v>0.08</v>
      </c>
      <c r="F10" s="181">
        <f t="shared" si="2"/>
        <v>2.5144772935080793E-2</v>
      </c>
      <c r="G10" s="184">
        <f>F10*E10</f>
        <v>2.0115818348064637E-3</v>
      </c>
      <c r="H10" s="122">
        <f t="shared" si="1"/>
        <v>2.0115818348064636</v>
      </c>
      <c r="L10" s="183"/>
    </row>
    <row r="11" spans="1:12" x14ac:dyDescent="0.25">
      <c r="A11" s="4">
        <v>5</v>
      </c>
      <c r="B11" s="4">
        <f t="shared" si="3"/>
        <v>4.2</v>
      </c>
      <c r="C11" s="4">
        <v>0.75</v>
      </c>
      <c r="D11" s="122">
        <f t="shared" si="0"/>
        <v>0.22858884486437062</v>
      </c>
      <c r="E11" s="4">
        <v>0.32</v>
      </c>
      <c r="F11" s="181">
        <f t="shared" si="2"/>
        <v>3.4288326729655677E-2</v>
      </c>
      <c r="G11" s="184">
        <f t="shared" si="4"/>
        <v>1.0972264553489817E-2</v>
      </c>
      <c r="H11" s="122">
        <f t="shared" si="1"/>
        <v>10.972264553489817</v>
      </c>
      <c r="L11" s="183"/>
    </row>
    <row r="12" spans="1:12" x14ac:dyDescent="0.25">
      <c r="A12" s="4">
        <v>6</v>
      </c>
      <c r="B12" s="4">
        <f t="shared" si="3"/>
        <v>4.3500000000000005</v>
      </c>
      <c r="C12" s="4">
        <v>0.95</v>
      </c>
      <c r="D12" s="122">
        <f t="shared" si="0"/>
        <v>0.2895458701615361</v>
      </c>
      <c r="E12" s="4">
        <v>0.3</v>
      </c>
      <c r="F12" s="181">
        <f t="shared" si="2"/>
        <v>4.3431880524230519E-2</v>
      </c>
      <c r="G12" s="184">
        <f t="shared" si="4"/>
        <v>1.3029564157269155E-2</v>
      </c>
      <c r="H12" s="122">
        <f t="shared" si="1"/>
        <v>13.029564157269155</v>
      </c>
      <c r="L12" s="183"/>
    </row>
    <row r="13" spans="1:12" x14ac:dyDescent="0.25">
      <c r="A13" s="4">
        <v>7</v>
      </c>
      <c r="B13" s="4">
        <f t="shared" si="3"/>
        <v>4.5000000000000009</v>
      </c>
      <c r="C13" s="4">
        <v>1.25</v>
      </c>
      <c r="D13" s="122">
        <f t="shared" si="0"/>
        <v>0.38098140810728437</v>
      </c>
      <c r="E13" s="4">
        <v>0.51</v>
      </c>
      <c r="F13" s="181">
        <f t="shared" si="2"/>
        <v>5.7147211216092793E-2</v>
      </c>
      <c r="G13" s="184">
        <f t="shared" si="4"/>
        <v>2.9145077720207326E-2</v>
      </c>
      <c r="H13" s="122">
        <f t="shared" si="1"/>
        <v>29.145077720207325</v>
      </c>
      <c r="L13" s="183"/>
    </row>
    <row r="14" spans="1:12" x14ac:dyDescent="0.25">
      <c r="A14" s="4">
        <v>8</v>
      </c>
      <c r="B14" s="4">
        <f t="shared" si="3"/>
        <v>4.6500000000000012</v>
      </c>
      <c r="C14" s="4">
        <v>1.3</v>
      </c>
      <c r="D14" s="122">
        <f t="shared" si="0"/>
        <v>0.39622066443157572</v>
      </c>
      <c r="E14" s="4">
        <v>0.66</v>
      </c>
      <c r="F14" s="181">
        <f t="shared" si="2"/>
        <v>5.9433099664736498E-2</v>
      </c>
      <c r="G14" s="184">
        <f t="shared" si="4"/>
        <v>3.9225845778726093E-2</v>
      </c>
      <c r="H14" s="122">
        <f t="shared" si="1"/>
        <v>39.225845778726089</v>
      </c>
      <c r="L14" s="183"/>
    </row>
    <row r="15" spans="1:12" x14ac:dyDescent="0.25">
      <c r="A15" s="4">
        <v>9</v>
      </c>
      <c r="B15" s="4">
        <f t="shared" si="3"/>
        <v>4.8000000000000016</v>
      </c>
      <c r="C15" s="4">
        <v>1.3</v>
      </c>
      <c r="D15" s="122">
        <f t="shared" si="0"/>
        <v>0.39622066443157572</v>
      </c>
      <c r="E15" s="4">
        <v>0.68</v>
      </c>
      <c r="F15" s="181">
        <f t="shared" si="2"/>
        <v>5.9433099664736498E-2</v>
      </c>
      <c r="G15" s="184">
        <f t="shared" si="4"/>
        <v>4.0414507772020825E-2</v>
      </c>
      <c r="H15" s="122">
        <f t="shared" si="1"/>
        <v>40.414507772020826</v>
      </c>
      <c r="L15" s="183"/>
    </row>
    <row r="16" spans="1:12" x14ac:dyDescent="0.25">
      <c r="A16" s="4">
        <v>10</v>
      </c>
      <c r="B16" s="4">
        <f t="shared" si="3"/>
        <v>4.950000000000002</v>
      </c>
      <c r="C16" s="4">
        <v>1.7</v>
      </c>
      <c r="D16" s="122">
        <f t="shared" si="0"/>
        <v>0.51813471502590669</v>
      </c>
      <c r="E16" s="4">
        <v>0.51</v>
      </c>
      <c r="F16" s="181">
        <f t="shared" si="2"/>
        <v>7.7720207253886189E-2</v>
      </c>
      <c r="G16" s="184">
        <f t="shared" si="4"/>
        <v>3.9637305699481956E-2</v>
      </c>
      <c r="H16" s="122">
        <f t="shared" si="1"/>
        <v>39.637305699481956</v>
      </c>
      <c r="L16" s="183"/>
    </row>
    <row r="17" spans="1:12" x14ac:dyDescent="0.25">
      <c r="A17" s="4">
        <v>11</v>
      </c>
      <c r="B17" s="4">
        <f t="shared" si="3"/>
        <v>5.1000000000000023</v>
      </c>
      <c r="C17" s="4">
        <v>1.6</v>
      </c>
      <c r="D17" s="122">
        <f t="shared" si="0"/>
        <v>0.48765620237732399</v>
      </c>
      <c r="E17" s="4">
        <v>0.59</v>
      </c>
      <c r="F17" s="181">
        <f t="shared" si="2"/>
        <v>7.3148430356598765E-2</v>
      </c>
      <c r="G17" s="184">
        <f t="shared" si="4"/>
        <v>4.3157573910393272E-2</v>
      </c>
      <c r="H17" s="122">
        <f t="shared" si="1"/>
        <v>43.157573910393275</v>
      </c>
      <c r="L17" s="183"/>
    </row>
    <row r="18" spans="1:12" x14ac:dyDescent="0.25">
      <c r="A18" s="4">
        <v>12</v>
      </c>
      <c r="B18" s="4">
        <f t="shared" si="3"/>
        <v>5.2500000000000027</v>
      </c>
      <c r="C18" s="4">
        <v>1.5</v>
      </c>
      <c r="D18" s="122">
        <f t="shared" si="0"/>
        <v>0.45717768972874123</v>
      </c>
      <c r="E18" s="4">
        <v>0.62</v>
      </c>
      <c r="F18" s="181">
        <f t="shared" si="2"/>
        <v>6.8576653459311354E-2</v>
      </c>
      <c r="G18" s="184">
        <f t="shared" si="4"/>
        <v>4.2517525144773041E-2</v>
      </c>
      <c r="H18" s="122">
        <f t="shared" si="1"/>
        <v>42.517525144773039</v>
      </c>
      <c r="L18" s="183"/>
    </row>
    <row r="19" spans="1:12" x14ac:dyDescent="0.25">
      <c r="A19" s="4">
        <v>13</v>
      </c>
      <c r="B19" s="4">
        <f t="shared" si="3"/>
        <v>5.400000000000003</v>
      </c>
      <c r="C19" s="4">
        <v>1.6</v>
      </c>
      <c r="D19" s="122">
        <f t="shared" si="0"/>
        <v>0.48765620237732399</v>
      </c>
      <c r="E19" s="4">
        <v>0.52</v>
      </c>
      <c r="F19" s="181">
        <f t="shared" si="2"/>
        <v>7.3148430356598765E-2</v>
      </c>
      <c r="G19" s="184">
        <f t="shared" si="4"/>
        <v>3.8037183785431361E-2</v>
      </c>
      <c r="H19" s="122">
        <f t="shared" si="1"/>
        <v>38.03718378543136</v>
      </c>
      <c r="L19" s="183"/>
    </row>
    <row r="20" spans="1:12" x14ac:dyDescent="0.25">
      <c r="A20" s="4">
        <v>14</v>
      </c>
      <c r="B20" s="4">
        <f t="shared" si="3"/>
        <v>5.5500000000000034</v>
      </c>
      <c r="C20" s="4">
        <v>1.1000000000000001</v>
      </c>
      <c r="D20" s="122">
        <f t="shared" si="0"/>
        <v>0.33526363913441026</v>
      </c>
      <c r="E20" s="4">
        <v>0.61</v>
      </c>
      <c r="F20" s="181">
        <f t="shared" si="2"/>
        <v>5.0289545870161656E-2</v>
      </c>
      <c r="G20" s="184">
        <f t="shared" si="4"/>
        <v>3.067662298079861E-2</v>
      </c>
      <c r="H20" s="122">
        <f t="shared" si="1"/>
        <v>30.676622980798609</v>
      </c>
      <c r="L20" s="183"/>
    </row>
    <row r="21" spans="1:12" x14ac:dyDescent="0.25">
      <c r="A21" s="4">
        <v>15</v>
      </c>
      <c r="B21" s="4">
        <f t="shared" si="3"/>
        <v>5.7000000000000037</v>
      </c>
      <c r="C21" s="4">
        <v>1</v>
      </c>
      <c r="D21" s="122">
        <f t="shared" si="0"/>
        <v>0.30478512648582745</v>
      </c>
      <c r="E21" s="4">
        <v>0.5</v>
      </c>
      <c r="F21" s="181">
        <f t="shared" si="2"/>
        <v>4.5717768972874225E-2</v>
      </c>
      <c r="G21" s="184">
        <f t="shared" si="4"/>
        <v>2.2858884486437112E-2</v>
      </c>
      <c r="H21" s="122">
        <f t="shared" si="1"/>
        <v>22.858884486437113</v>
      </c>
      <c r="L21" s="183"/>
    </row>
    <row r="22" spans="1:12" x14ac:dyDescent="0.25">
      <c r="A22" s="4">
        <v>16</v>
      </c>
      <c r="B22" s="4">
        <f t="shared" si="3"/>
        <v>5.8500000000000041</v>
      </c>
      <c r="C22" s="4">
        <v>1.1000000000000001</v>
      </c>
      <c r="D22" s="122">
        <f t="shared" si="0"/>
        <v>0.33526363913441026</v>
      </c>
      <c r="E22" s="4">
        <v>0.43</v>
      </c>
      <c r="F22" s="181">
        <f t="shared" si="2"/>
        <v>5.0289545870161656E-2</v>
      </c>
      <c r="G22" s="184">
        <f t="shared" si="4"/>
        <v>2.1624504724169512E-2</v>
      </c>
      <c r="H22" s="122">
        <f t="shared" si="1"/>
        <v>21.624504724169512</v>
      </c>
      <c r="L22" s="183"/>
    </row>
    <row r="23" spans="1:12" x14ac:dyDescent="0.25">
      <c r="A23" s="4">
        <v>17</v>
      </c>
      <c r="B23" s="4">
        <f t="shared" si="3"/>
        <v>6.0000000000000044</v>
      </c>
      <c r="C23" s="4">
        <v>0.7</v>
      </c>
      <c r="D23" s="122">
        <f t="shared" si="0"/>
        <v>0.21334958854007921</v>
      </c>
      <c r="E23" s="4">
        <v>0.5</v>
      </c>
      <c r="F23" s="181">
        <f t="shared" si="2"/>
        <v>3.2002438281011958E-2</v>
      </c>
      <c r="G23" s="184">
        <f t="shared" si="4"/>
        <v>1.6001219140505979E-2</v>
      </c>
      <c r="H23" s="122">
        <f t="shared" si="1"/>
        <v>16.001219140505977</v>
      </c>
      <c r="L23" s="183"/>
    </row>
    <row r="24" spans="1:12" x14ac:dyDescent="0.25">
      <c r="A24" s="4">
        <v>18</v>
      </c>
      <c r="B24" s="4">
        <f t="shared" si="3"/>
        <v>6.1500000000000048</v>
      </c>
      <c r="C24" s="4">
        <v>0.5</v>
      </c>
      <c r="D24" s="122">
        <f t="shared" si="0"/>
        <v>0.15239256324291373</v>
      </c>
      <c r="E24" s="4">
        <v>0.3</v>
      </c>
      <c r="F24" s="181">
        <f t="shared" si="2"/>
        <v>2.2858884486437112E-2</v>
      </c>
      <c r="G24" s="184">
        <f t="shared" si="4"/>
        <v>6.8576653459311333E-3</v>
      </c>
      <c r="H24" s="122">
        <f t="shared" si="1"/>
        <v>6.8576653459311334</v>
      </c>
      <c r="L24" s="183"/>
    </row>
    <row r="25" spans="1:12" x14ac:dyDescent="0.25">
      <c r="A25" s="4">
        <v>19</v>
      </c>
      <c r="B25" s="4">
        <f t="shared" si="3"/>
        <v>6.3000000000000052</v>
      </c>
      <c r="C25" s="4">
        <v>0.4</v>
      </c>
      <c r="D25" s="122">
        <f t="shared" si="0"/>
        <v>0.121914050594331</v>
      </c>
      <c r="E25" s="4">
        <v>0</v>
      </c>
      <c r="F25" s="181">
        <f t="shared" si="2"/>
        <v>1.8287107589149691E-2</v>
      </c>
      <c r="G25" s="184">
        <f t="shared" si="4"/>
        <v>0</v>
      </c>
      <c r="H25" s="122">
        <f t="shared" si="1"/>
        <v>0</v>
      </c>
      <c r="L25" s="183"/>
    </row>
    <row r="26" spans="1:12" x14ac:dyDescent="0.25">
      <c r="A26" s="4">
        <v>20</v>
      </c>
      <c r="B26" s="4">
        <f t="shared" si="3"/>
        <v>6.4500000000000055</v>
      </c>
      <c r="C26" s="4">
        <v>0.65</v>
      </c>
      <c r="D26" s="122">
        <f t="shared" si="0"/>
        <v>0.19811033221578786</v>
      </c>
      <c r="E26" s="4">
        <v>-0.01</v>
      </c>
      <c r="F26" s="181">
        <f t="shared" si="2"/>
        <v>2.9716549832367635E-2</v>
      </c>
      <c r="G26" s="184">
        <f>F26*E26</f>
        <v>-2.9716549832367638E-4</v>
      </c>
      <c r="H26" s="122">
        <f t="shared" si="1"/>
        <v>-0.29716549832367639</v>
      </c>
      <c r="L26" s="183"/>
    </row>
    <row r="27" spans="1:12" x14ac:dyDescent="0.25">
      <c r="A27" s="111">
        <v>21</v>
      </c>
      <c r="B27" s="111">
        <v>6.6</v>
      </c>
      <c r="C27" s="111">
        <v>0</v>
      </c>
      <c r="D27" s="111">
        <f t="shared" si="0"/>
        <v>0</v>
      </c>
      <c r="E27" s="111">
        <v>0</v>
      </c>
      <c r="F27" s="193">
        <f>AVERAGE(D26:D27)*0.5*(B27-B26)</f>
        <v>7.4291374580917544E-3</v>
      </c>
      <c r="G27" s="185">
        <f>F27*0.5*E27</f>
        <v>0</v>
      </c>
      <c r="H27" s="125">
        <f t="shared" si="1"/>
        <v>0</v>
      </c>
      <c r="I27" s="205" t="s">
        <v>225</v>
      </c>
      <c r="L27" s="183"/>
    </row>
    <row r="28" spans="1:12" s="229" customFormat="1" ht="12" customHeight="1" x14ac:dyDescent="0.3">
      <c r="A28" s="231"/>
      <c r="B28" s="231"/>
      <c r="C28" s="231"/>
      <c r="D28" s="231"/>
      <c r="E28" s="232" t="s">
        <v>232</v>
      </c>
      <c r="F28" s="233">
        <f>SUM(F4:F26)</f>
        <v>0.88463882962511564</v>
      </c>
      <c r="G28" s="234">
        <f t="shared" ref="G28:H28" si="5">SUM(G4:G26)</f>
        <v>0.39544346235903782</v>
      </c>
      <c r="H28" s="235">
        <f t="shared" si="5"/>
        <v>395.44346235903771</v>
      </c>
      <c r="I28" s="238"/>
      <c r="K28" s="230"/>
    </row>
    <row r="29" spans="1:12" x14ac:dyDescent="0.25">
      <c r="A29" s="133" t="s">
        <v>231</v>
      </c>
      <c r="B29" s="216"/>
      <c r="C29" s="216"/>
      <c r="D29" s="216"/>
      <c r="E29" s="216"/>
      <c r="F29" s="216"/>
      <c r="G29" s="236"/>
      <c r="H29" s="216"/>
      <c r="I29" s="239"/>
    </row>
    <row r="30" spans="1:12" ht="39.75" hidden="1" customHeight="1" thickBot="1" x14ac:dyDescent="0.3">
      <c r="A30" s="179" t="s">
        <v>220</v>
      </c>
      <c r="B30" s="179" t="s">
        <v>221</v>
      </c>
      <c r="C30" s="179" t="s">
        <v>222</v>
      </c>
      <c r="D30" s="179" t="s">
        <v>223</v>
      </c>
      <c r="E30" s="179" t="s">
        <v>224</v>
      </c>
      <c r="F30" s="179" t="s">
        <v>573</v>
      </c>
      <c r="G30" s="180" t="s">
        <v>574</v>
      </c>
      <c r="H30" s="179" t="s">
        <v>246</v>
      </c>
      <c r="I30" s="207" t="s">
        <v>124</v>
      </c>
    </row>
    <row r="31" spans="1:12" x14ac:dyDescent="0.25">
      <c r="A31" s="4">
        <v>0</v>
      </c>
      <c r="B31" s="4">
        <v>3.5</v>
      </c>
      <c r="C31" s="4">
        <v>0</v>
      </c>
      <c r="D31" s="4">
        <f>C31/3.281</f>
        <v>0</v>
      </c>
      <c r="E31" s="4">
        <v>0</v>
      </c>
      <c r="F31" s="181">
        <f>AVERAGE(D31:D32)*0.5*(B32-B31)</f>
        <v>4.5717768972874098E-3</v>
      </c>
      <c r="G31" s="181">
        <f>F31*0.5*E32</f>
        <v>0</v>
      </c>
      <c r="H31" s="122">
        <f>G31*1000</f>
        <v>0</v>
      </c>
      <c r="I31" s="203" t="s">
        <v>225</v>
      </c>
      <c r="L31" s="183"/>
    </row>
    <row r="32" spans="1:12" x14ac:dyDescent="0.25">
      <c r="A32" s="4">
        <v>1</v>
      </c>
      <c r="B32" s="4">
        <v>3.65</v>
      </c>
      <c r="C32" s="4">
        <v>0.4</v>
      </c>
      <c r="D32" s="122">
        <f t="shared" ref="D32:D52" si="6">C32/3.281</f>
        <v>0.121914050594331</v>
      </c>
      <c r="E32" s="4">
        <v>0</v>
      </c>
      <c r="F32" s="181">
        <f t="shared" ref="F32:F51" si="7">(0.5*(B32-B31)+0.5*(B33-B32))*D32</f>
        <v>1.8287107589149639E-2</v>
      </c>
      <c r="G32" s="184">
        <f>F32*E32</f>
        <v>0</v>
      </c>
      <c r="H32" s="122">
        <f t="shared" ref="H32:H52" si="8">G32*1000</f>
        <v>0</v>
      </c>
      <c r="L32" s="183"/>
    </row>
    <row r="33" spans="1:17" x14ac:dyDescent="0.25">
      <c r="A33" s="4">
        <v>2</v>
      </c>
      <c r="B33" s="4">
        <f>B32+0.15</f>
        <v>3.8</v>
      </c>
      <c r="C33" s="4">
        <v>0.35</v>
      </c>
      <c r="D33" s="122">
        <f t="shared" si="6"/>
        <v>0.10667479427003961</v>
      </c>
      <c r="E33" s="4">
        <v>0.02</v>
      </c>
      <c r="F33" s="181">
        <f t="shared" si="7"/>
        <v>1.600121914050593E-2</v>
      </c>
      <c r="G33" s="184">
        <f>F33*E33</f>
        <v>3.2002438281011859E-4</v>
      </c>
      <c r="H33" s="122">
        <f t="shared" si="8"/>
        <v>0.32002438281011858</v>
      </c>
      <c r="L33" s="183"/>
    </row>
    <row r="34" spans="1:17" x14ac:dyDescent="0.25">
      <c r="A34" s="4">
        <v>3</v>
      </c>
      <c r="B34" s="4">
        <f t="shared" ref="B34:B51" si="9">B33+0.15</f>
        <v>3.9499999999999997</v>
      </c>
      <c r="C34" s="4">
        <v>0.65</v>
      </c>
      <c r="D34" s="122">
        <f t="shared" si="6"/>
        <v>0.19811033221578786</v>
      </c>
      <c r="E34" s="4">
        <v>0.03</v>
      </c>
      <c r="F34" s="181">
        <f t="shared" si="7"/>
        <v>2.9716549832368162E-2</v>
      </c>
      <c r="G34" s="184">
        <f t="shared" ref="G34:G51" si="10">F34*E34</f>
        <v>8.9149649497104481E-4</v>
      </c>
      <c r="H34" s="122">
        <f t="shared" si="8"/>
        <v>0.89149649497104477</v>
      </c>
      <c r="L34" s="183"/>
    </row>
    <row r="35" spans="1:17" x14ac:dyDescent="0.25">
      <c r="A35" s="4">
        <v>4</v>
      </c>
      <c r="B35" s="4">
        <f t="shared" si="9"/>
        <v>4.0999999999999996</v>
      </c>
      <c r="C35" s="4">
        <v>0.6</v>
      </c>
      <c r="D35" s="122">
        <f t="shared" si="6"/>
        <v>0.18287107589149648</v>
      </c>
      <c r="E35" s="4">
        <v>0.17</v>
      </c>
      <c r="F35" s="181">
        <f t="shared" si="7"/>
        <v>2.7430661383724495E-2</v>
      </c>
      <c r="G35" s="184">
        <f t="shared" si="10"/>
        <v>4.6632124352331645E-3</v>
      </c>
      <c r="H35" s="122">
        <f t="shared" si="8"/>
        <v>4.6632124352331648</v>
      </c>
      <c r="L35" s="183"/>
    </row>
    <row r="36" spans="1:17" x14ac:dyDescent="0.25">
      <c r="A36" s="4">
        <v>5</v>
      </c>
      <c r="B36" s="4">
        <f t="shared" si="9"/>
        <v>4.25</v>
      </c>
      <c r="C36" s="4">
        <v>0.7</v>
      </c>
      <c r="D36" s="122">
        <f t="shared" si="6"/>
        <v>0.21334958854007921</v>
      </c>
      <c r="E36" s="4">
        <v>0.36</v>
      </c>
      <c r="F36" s="181">
        <f t="shared" si="7"/>
        <v>3.2002438281011958E-2</v>
      </c>
      <c r="G36" s="184">
        <f t="shared" si="10"/>
        <v>1.1520877781164304E-2</v>
      </c>
      <c r="H36" s="122">
        <f t="shared" si="8"/>
        <v>11.520877781164303</v>
      </c>
      <c r="L36" s="183"/>
    </row>
    <row r="37" spans="1:17" x14ac:dyDescent="0.25">
      <c r="A37" s="4">
        <v>6</v>
      </c>
      <c r="B37" s="4">
        <f t="shared" si="9"/>
        <v>4.4000000000000004</v>
      </c>
      <c r="C37" s="4">
        <v>0.9</v>
      </c>
      <c r="D37" s="122">
        <f t="shared" si="6"/>
        <v>0.27430661383724475</v>
      </c>
      <c r="E37" s="4">
        <v>0.47</v>
      </c>
      <c r="F37" s="181">
        <f t="shared" si="7"/>
        <v>4.1145992075586807E-2</v>
      </c>
      <c r="G37" s="184">
        <f t="shared" si="10"/>
        <v>1.93386162755258E-2</v>
      </c>
      <c r="H37" s="122">
        <f t="shared" si="8"/>
        <v>19.338616275525801</v>
      </c>
      <c r="L37" s="183"/>
    </row>
    <row r="38" spans="1:17" x14ac:dyDescent="0.25">
      <c r="A38" s="4">
        <v>7</v>
      </c>
      <c r="B38" s="4">
        <f t="shared" si="9"/>
        <v>4.5500000000000007</v>
      </c>
      <c r="C38" s="4">
        <v>1.25</v>
      </c>
      <c r="D38" s="122">
        <f t="shared" si="6"/>
        <v>0.38098140810728437</v>
      </c>
      <c r="E38" s="4">
        <v>0.53</v>
      </c>
      <c r="F38" s="181">
        <f t="shared" si="7"/>
        <v>5.7147211216092793E-2</v>
      </c>
      <c r="G38" s="184">
        <f t="shared" si="10"/>
        <v>3.0288021944529182E-2</v>
      </c>
      <c r="H38" s="122">
        <f t="shared" si="8"/>
        <v>30.288021944529181</v>
      </c>
      <c r="L38" s="183"/>
    </row>
    <row r="39" spans="1:17" x14ac:dyDescent="0.25">
      <c r="A39" s="4">
        <v>8</v>
      </c>
      <c r="B39" s="4">
        <f t="shared" si="9"/>
        <v>4.7000000000000011</v>
      </c>
      <c r="C39" s="4">
        <v>1.3</v>
      </c>
      <c r="D39" s="122">
        <f t="shared" si="6"/>
        <v>0.39622066443157572</v>
      </c>
      <c r="E39" s="4">
        <v>0.6</v>
      </c>
      <c r="F39" s="181">
        <f t="shared" si="7"/>
        <v>5.9433099664736498E-2</v>
      </c>
      <c r="G39" s="184">
        <f t="shared" si="10"/>
        <v>3.5659859798841897E-2</v>
      </c>
      <c r="H39" s="122">
        <f t="shared" si="8"/>
        <v>35.6598597988419</v>
      </c>
      <c r="L39" s="183"/>
      <c r="O39" s="5" t="s">
        <v>234</v>
      </c>
      <c r="P39" s="191">
        <f>AVERAGE(H53,H28)</f>
        <v>393.84143553794667</v>
      </c>
    </row>
    <row r="40" spans="1:17" x14ac:dyDescent="0.25">
      <c r="A40" s="4">
        <v>9</v>
      </c>
      <c r="B40" s="4">
        <f t="shared" si="9"/>
        <v>4.8500000000000014</v>
      </c>
      <c r="C40" s="4">
        <v>1.3</v>
      </c>
      <c r="D40" s="122">
        <f t="shared" si="6"/>
        <v>0.39622066443157572</v>
      </c>
      <c r="E40" s="4">
        <v>0.75</v>
      </c>
      <c r="F40" s="181">
        <f t="shared" si="7"/>
        <v>5.9433099664736498E-2</v>
      </c>
      <c r="G40" s="184">
        <f t="shared" si="10"/>
        <v>4.4574824748552372E-2</v>
      </c>
      <c r="H40" s="122">
        <f t="shared" si="8"/>
        <v>44.574824748552373</v>
      </c>
      <c r="L40" s="183"/>
      <c r="O40" s="5" t="s">
        <v>235</v>
      </c>
      <c r="P40" s="191">
        <f>ABS(H28-H53)</f>
        <v>3.2040536421820889</v>
      </c>
    </row>
    <row r="41" spans="1:17" x14ac:dyDescent="0.25">
      <c r="A41" s="4">
        <v>10</v>
      </c>
      <c r="B41" s="4">
        <f t="shared" si="9"/>
        <v>5.0000000000000018</v>
      </c>
      <c r="C41" s="4">
        <v>1.7</v>
      </c>
      <c r="D41" s="122">
        <f t="shared" si="6"/>
        <v>0.51813471502590669</v>
      </c>
      <c r="E41" s="4">
        <v>0.43</v>
      </c>
      <c r="F41" s="181">
        <f t="shared" si="7"/>
        <v>7.7720207253886189E-2</v>
      </c>
      <c r="G41" s="184">
        <f t="shared" si="10"/>
        <v>3.3419689119171064E-2</v>
      </c>
      <c r="H41" s="122">
        <f t="shared" si="8"/>
        <v>33.419689119171068</v>
      </c>
      <c r="L41" s="183"/>
      <c r="O41" s="5" t="s">
        <v>238</v>
      </c>
      <c r="P41" s="5">
        <f>P40/2</f>
        <v>1.6020268210910444</v>
      </c>
      <c r="Q41" s="192">
        <f>P41/P39</f>
        <v>4.0676949567351678E-3</v>
      </c>
    </row>
    <row r="42" spans="1:17" x14ac:dyDescent="0.25">
      <c r="A42" s="4">
        <v>11</v>
      </c>
      <c r="B42" s="4">
        <f t="shared" si="9"/>
        <v>5.1500000000000021</v>
      </c>
      <c r="C42" s="4">
        <v>1.55</v>
      </c>
      <c r="D42" s="122">
        <f t="shared" si="6"/>
        <v>0.47241694605303258</v>
      </c>
      <c r="E42" s="4">
        <v>0.62</v>
      </c>
      <c r="F42" s="181">
        <f t="shared" si="7"/>
        <v>7.0862541907955059E-2</v>
      </c>
      <c r="G42" s="184">
        <f t="shared" si="10"/>
        <v>4.3934775982932134E-2</v>
      </c>
      <c r="H42" s="122">
        <f t="shared" si="8"/>
        <v>43.93477598293213</v>
      </c>
      <c r="L42" s="183"/>
      <c r="O42" s="5" t="s">
        <v>236</v>
      </c>
      <c r="P42" s="5">
        <f>P41/(SQRT(2))</f>
        <v>1.1328040288362053</v>
      </c>
      <c r="Q42" s="192">
        <f>P42/P39</f>
        <v>2.8762946877057571E-3</v>
      </c>
    </row>
    <row r="43" spans="1:17" x14ac:dyDescent="0.25">
      <c r="A43" s="4">
        <v>12</v>
      </c>
      <c r="B43" s="4">
        <f t="shared" si="9"/>
        <v>5.3000000000000025</v>
      </c>
      <c r="C43" s="4">
        <v>1.5</v>
      </c>
      <c r="D43" s="122">
        <f t="shared" si="6"/>
        <v>0.45717768972874123</v>
      </c>
      <c r="E43" s="4">
        <v>0.65</v>
      </c>
      <c r="F43" s="181">
        <f t="shared" si="7"/>
        <v>6.8576653459311354E-2</v>
      </c>
      <c r="G43" s="184">
        <f t="shared" si="10"/>
        <v>4.4574824748552379E-2</v>
      </c>
      <c r="H43" s="122">
        <f t="shared" si="8"/>
        <v>44.574824748552381</v>
      </c>
      <c r="L43" s="183"/>
      <c r="O43" s="5" t="s">
        <v>240</v>
      </c>
      <c r="P43" s="5">
        <f>STDEV(H53,H28)</f>
        <v>2.2656080576724107</v>
      </c>
      <c r="Q43" s="192">
        <f>P43/P39</f>
        <v>5.7525893754115142E-3</v>
      </c>
    </row>
    <row r="44" spans="1:17" x14ac:dyDescent="0.25">
      <c r="A44" s="4">
        <v>13</v>
      </c>
      <c r="B44" s="4">
        <f t="shared" si="9"/>
        <v>5.4500000000000028</v>
      </c>
      <c r="C44" s="4">
        <v>1.65</v>
      </c>
      <c r="D44" s="122">
        <f t="shared" si="6"/>
        <v>0.50289545870161534</v>
      </c>
      <c r="E44" s="4">
        <v>0.55000000000000004</v>
      </c>
      <c r="F44" s="181">
        <f t="shared" si="7"/>
        <v>7.5434318805242484E-2</v>
      </c>
      <c r="G44" s="184">
        <f t="shared" si="10"/>
        <v>4.1488875342883369E-2</v>
      </c>
      <c r="H44" s="122">
        <f t="shared" si="8"/>
        <v>41.488875342883368</v>
      </c>
      <c r="L44" s="183"/>
    </row>
    <row r="45" spans="1:17" x14ac:dyDescent="0.25">
      <c r="A45" s="4">
        <v>14</v>
      </c>
      <c r="B45" s="4">
        <f t="shared" si="9"/>
        <v>5.6000000000000032</v>
      </c>
      <c r="C45" s="4">
        <v>1.1000000000000001</v>
      </c>
      <c r="D45" s="122">
        <f t="shared" si="6"/>
        <v>0.33526363913441026</v>
      </c>
      <c r="E45" s="4">
        <v>0.6</v>
      </c>
      <c r="F45" s="181">
        <f t="shared" si="7"/>
        <v>5.0289545870161656E-2</v>
      </c>
      <c r="G45" s="184">
        <f t="shared" si="10"/>
        <v>3.0173727522096992E-2</v>
      </c>
      <c r="H45" s="122">
        <f t="shared" si="8"/>
        <v>30.173727522096993</v>
      </c>
      <c r="L45" s="183"/>
      <c r="O45" s="5" t="s">
        <v>239</v>
      </c>
    </row>
    <row r="46" spans="1:17" x14ac:dyDescent="0.25">
      <c r="A46" s="4">
        <v>15</v>
      </c>
      <c r="B46" s="4">
        <f t="shared" si="9"/>
        <v>5.7500000000000036</v>
      </c>
      <c r="C46" s="4">
        <v>1.1000000000000001</v>
      </c>
      <c r="D46" s="122">
        <f t="shared" si="6"/>
        <v>0.33526363913441026</v>
      </c>
      <c r="E46" s="4">
        <v>0.48</v>
      </c>
      <c r="F46" s="181">
        <f t="shared" si="7"/>
        <v>5.0289545870161656E-2</v>
      </c>
      <c r="G46" s="184">
        <f t="shared" si="10"/>
        <v>2.4138982017677595E-2</v>
      </c>
      <c r="H46" s="122">
        <f t="shared" si="8"/>
        <v>24.138982017677595</v>
      </c>
      <c r="L46" s="183"/>
    </row>
    <row r="47" spans="1:17" x14ac:dyDescent="0.25">
      <c r="A47" s="4">
        <v>16</v>
      </c>
      <c r="B47" s="4">
        <f t="shared" si="9"/>
        <v>5.9000000000000039</v>
      </c>
      <c r="C47" s="4">
        <v>1.4</v>
      </c>
      <c r="D47" s="122">
        <f t="shared" si="6"/>
        <v>0.42669917708015842</v>
      </c>
      <c r="E47" s="4">
        <v>0.12</v>
      </c>
      <c r="F47" s="181">
        <f t="shared" si="7"/>
        <v>6.4004876562023916E-2</v>
      </c>
      <c r="G47" s="184">
        <f t="shared" si="10"/>
        <v>7.6805851874428696E-3</v>
      </c>
      <c r="H47" s="122">
        <f t="shared" si="8"/>
        <v>7.6805851874428699</v>
      </c>
      <c r="L47" s="183"/>
    </row>
    <row r="48" spans="1:17" x14ac:dyDescent="0.25">
      <c r="A48" s="4">
        <v>17</v>
      </c>
      <c r="B48" s="4">
        <f t="shared" si="9"/>
        <v>6.0500000000000043</v>
      </c>
      <c r="C48" s="4">
        <v>0.65</v>
      </c>
      <c r="D48" s="122">
        <f t="shared" si="6"/>
        <v>0.19811033221578786</v>
      </c>
      <c r="E48" s="4">
        <v>0.5</v>
      </c>
      <c r="F48" s="181">
        <f t="shared" si="7"/>
        <v>2.9716549832368249E-2</v>
      </c>
      <c r="G48" s="184">
        <f t="shared" si="10"/>
        <v>1.4858274916184125E-2</v>
      </c>
      <c r="H48" s="122">
        <f t="shared" si="8"/>
        <v>14.858274916184124</v>
      </c>
      <c r="L48" s="183"/>
    </row>
    <row r="49" spans="1:13" x14ac:dyDescent="0.25">
      <c r="A49" s="4">
        <v>18</v>
      </c>
      <c r="B49" s="4">
        <f t="shared" si="9"/>
        <v>6.2000000000000046</v>
      </c>
      <c r="C49" s="4">
        <v>0.4</v>
      </c>
      <c r="D49" s="122">
        <f t="shared" si="6"/>
        <v>0.121914050594331</v>
      </c>
      <c r="E49" s="4">
        <v>0.2</v>
      </c>
      <c r="F49" s="181">
        <f t="shared" si="7"/>
        <v>1.8287107589149691E-2</v>
      </c>
      <c r="G49" s="184">
        <f t="shared" si="10"/>
        <v>3.6574215178299383E-3</v>
      </c>
      <c r="H49" s="122">
        <f t="shared" si="8"/>
        <v>3.6574215178299383</v>
      </c>
      <c r="L49" s="183"/>
    </row>
    <row r="50" spans="1:13" x14ac:dyDescent="0.25">
      <c r="A50" s="4">
        <v>19</v>
      </c>
      <c r="B50" s="4">
        <f t="shared" si="9"/>
        <v>6.350000000000005</v>
      </c>
      <c r="C50" s="4">
        <v>0.4</v>
      </c>
      <c r="D50" s="122">
        <f t="shared" si="6"/>
        <v>0.121914050594331</v>
      </c>
      <c r="E50" s="4">
        <v>-0.01</v>
      </c>
      <c r="F50" s="181">
        <f t="shared" si="7"/>
        <v>1.8287107589149691E-2</v>
      </c>
      <c r="G50" s="184">
        <f t="shared" si="10"/>
        <v>-1.8287107589149692E-4</v>
      </c>
      <c r="H50" s="122">
        <f t="shared" si="8"/>
        <v>-0.18287107589149693</v>
      </c>
      <c r="L50" s="183"/>
    </row>
    <row r="51" spans="1:13" x14ac:dyDescent="0.25">
      <c r="A51" s="4">
        <v>20</v>
      </c>
      <c r="B51" s="4">
        <f t="shared" si="9"/>
        <v>6.5000000000000053</v>
      </c>
      <c r="C51" s="4">
        <v>0.65</v>
      </c>
      <c r="D51" s="122">
        <f t="shared" si="6"/>
        <v>0.19811033221578786</v>
      </c>
      <c r="E51" s="4">
        <v>0.05</v>
      </c>
      <c r="F51" s="181">
        <f t="shared" si="7"/>
        <v>2.4763791526972955E-2</v>
      </c>
      <c r="G51" s="184">
        <f t="shared" si="10"/>
        <v>1.2381895763486478E-3</v>
      </c>
      <c r="H51" s="122">
        <f t="shared" si="8"/>
        <v>1.2381895763486479</v>
      </c>
      <c r="L51" s="183"/>
    </row>
    <row r="52" spans="1:13" x14ac:dyDescent="0.25">
      <c r="A52" s="111">
        <v>21</v>
      </c>
      <c r="B52" s="111">
        <v>6.6</v>
      </c>
      <c r="C52" s="111">
        <v>0</v>
      </c>
      <c r="D52" s="111">
        <f t="shared" si="6"/>
        <v>0</v>
      </c>
      <c r="E52" s="111">
        <v>0</v>
      </c>
      <c r="F52" s="193">
        <f>AVERAGE(D51:D52)*0.5*(B52-B51)</f>
        <v>4.9527583053944153E-3</v>
      </c>
      <c r="G52" s="185">
        <f>F52*0.5*E51</f>
        <v>1.2381895763486039E-4</v>
      </c>
      <c r="H52" s="125">
        <f t="shared" si="8"/>
        <v>0.12381895763486039</v>
      </c>
      <c r="I52" s="205" t="s">
        <v>225</v>
      </c>
      <c r="L52" s="183"/>
    </row>
    <row r="53" spans="1:13" ht="12" customHeight="1" x14ac:dyDescent="0.25">
      <c r="A53" s="188"/>
      <c r="B53" s="188"/>
      <c r="C53" s="188"/>
      <c r="D53" s="188"/>
      <c r="E53" s="200" t="s">
        <v>232</v>
      </c>
      <c r="F53" s="241">
        <f>SUM(F31:F51)</f>
        <v>0.8934014020115828</v>
      </c>
      <c r="G53" s="241">
        <f t="shared" ref="G53:H53" si="11">SUM(G31:G51)</f>
        <v>0.39223940871685553</v>
      </c>
      <c r="H53" s="242">
        <f t="shared" si="11"/>
        <v>392.23940871685562</v>
      </c>
      <c r="I53" s="240"/>
    </row>
    <row r="54" spans="1:13" x14ac:dyDescent="0.25">
      <c r="A54" s="98" t="s">
        <v>64</v>
      </c>
      <c r="B54" s="197"/>
      <c r="C54" s="197"/>
      <c r="D54" s="197"/>
      <c r="E54" s="197"/>
      <c r="F54" s="197"/>
      <c r="G54" s="197"/>
      <c r="H54" s="197"/>
      <c r="I54" s="218"/>
    </row>
    <row r="55" spans="1:13" x14ac:dyDescent="0.25">
      <c r="A55" s="98" t="s">
        <v>552</v>
      </c>
      <c r="B55" s="98"/>
      <c r="C55" s="98"/>
      <c r="D55" s="98" t="s">
        <v>543</v>
      </c>
      <c r="E55" s="98"/>
      <c r="F55" s="98"/>
      <c r="G55" s="98"/>
      <c r="H55" s="98"/>
      <c r="I55" s="217"/>
    </row>
    <row r="56" spans="1:13" ht="13.8" x14ac:dyDescent="0.25">
      <c r="A56" s="98" t="s">
        <v>540</v>
      </c>
      <c r="B56" s="104"/>
      <c r="C56" s="104"/>
      <c r="D56" s="98" t="s">
        <v>584</v>
      </c>
      <c r="E56" s="104"/>
      <c r="F56" s="45"/>
      <c r="G56" s="45"/>
      <c r="H56" s="45"/>
      <c r="I56" s="6"/>
      <c r="L56" s="183"/>
    </row>
    <row r="57" spans="1:13" ht="13.8" x14ac:dyDescent="0.25">
      <c r="A57" s="98" t="s">
        <v>535</v>
      </c>
      <c r="B57" s="104"/>
      <c r="C57" s="104"/>
      <c r="D57" s="98" t="s">
        <v>585</v>
      </c>
      <c r="E57" s="104"/>
      <c r="F57" s="213"/>
      <c r="G57" s="45"/>
      <c r="H57" s="45"/>
      <c r="I57" s="6"/>
      <c r="L57" s="183"/>
    </row>
    <row r="58" spans="1:13" x14ac:dyDescent="0.25">
      <c r="A58" s="98" t="s">
        <v>112</v>
      </c>
      <c r="B58" s="104"/>
      <c r="C58" s="104"/>
      <c r="D58" s="126"/>
      <c r="E58" s="104"/>
      <c r="F58" s="213"/>
      <c r="G58" s="45"/>
      <c r="H58" s="45"/>
      <c r="I58" s="6"/>
      <c r="L58" s="183"/>
    </row>
    <row r="59" spans="1:13" x14ac:dyDescent="0.25">
      <c r="B59" s="104"/>
      <c r="C59" s="104"/>
      <c r="D59" s="126"/>
      <c r="E59" s="104"/>
      <c r="F59" s="213"/>
      <c r="G59" s="45"/>
      <c r="H59" s="45"/>
      <c r="I59" s="6"/>
      <c r="L59" s="183"/>
    </row>
    <row r="60" spans="1:13" x14ac:dyDescent="0.25">
      <c r="B60" s="104"/>
      <c r="C60" s="104"/>
      <c r="D60" s="126"/>
      <c r="E60" s="104"/>
      <c r="F60" s="213"/>
      <c r="G60" s="45"/>
      <c r="H60" s="45"/>
      <c r="I60" s="6"/>
      <c r="L60" s="183"/>
      <c r="M60" s="5" t="s">
        <v>241</v>
      </c>
    </row>
    <row r="61" spans="1:13" x14ac:dyDescent="0.25">
      <c r="B61" s="104"/>
      <c r="C61" s="104"/>
      <c r="D61" s="126"/>
      <c r="E61" s="104"/>
      <c r="F61" s="213"/>
      <c r="G61" s="45"/>
      <c r="H61" s="45"/>
      <c r="I61" s="6"/>
      <c r="L61" s="183"/>
    </row>
    <row r="62" spans="1:13" x14ac:dyDescent="0.25">
      <c r="A62" s="104"/>
      <c r="B62" s="104"/>
      <c r="C62" s="104"/>
      <c r="D62" s="126"/>
      <c r="E62" s="104"/>
      <c r="F62" s="213"/>
      <c r="G62" s="45"/>
      <c r="H62" s="45"/>
      <c r="I62" s="6"/>
      <c r="L62" s="183"/>
    </row>
    <row r="63" spans="1:13" x14ac:dyDescent="0.25">
      <c r="A63" s="4"/>
      <c r="B63" s="4"/>
      <c r="C63" s="4"/>
      <c r="D63" s="122"/>
      <c r="E63" s="4"/>
      <c r="F63" s="181"/>
      <c r="G63" s="182"/>
      <c r="H63" s="182"/>
      <c r="I63" s="7"/>
      <c r="L63" s="183"/>
    </row>
    <row r="64" spans="1:13" x14ac:dyDescent="0.25">
      <c r="A64" s="4"/>
      <c r="B64" s="4"/>
      <c r="C64" s="4"/>
      <c r="D64" s="122"/>
      <c r="E64" s="4"/>
      <c r="F64" s="181"/>
      <c r="G64" s="182"/>
      <c r="H64" s="182"/>
      <c r="I64" s="7"/>
      <c r="L64" s="183"/>
    </row>
    <row r="65" spans="1:12" x14ac:dyDescent="0.25">
      <c r="A65" s="4"/>
      <c r="B65" s="4"/>
      <c r="C65" s="4"/>
      <c r="D65" s="122"/>
      <c r="E65" s="4"/>
      <c r="F65" s="181"/>
      <c r="G65" s="182"/>
      <c r="H65" s="182"/>
      <c r="I65" s="7"/>
      <c r="L65" s="183"/>
    </row>
    <row r="66" spans="1:12" x14ac:dyDescent="0.25">
      <c r="A66" s="4"/>
      <c r="B66" s="4"/>
      <c r="C66" s="4"/>
      <c r="D66" s="122"/>
      <c r="E66" s="4"/>
      <c r="F66" s="181"/>
      <c r="G66" s="182"/>
      <c r="H66" s="182"/>
      <c r="I66" s="7"/>
      <c r="L66" s="183"/>
    </row>
    <row r="67" spans="1:12" x14ac:dyDescent="0.25">
      <c r="A67" s="4"/>
      <c r="B67" s="4"/>
      <c r="C67" s="4"/>
      <c r="D67" s="122"/>
      <c r="E67" s="4"/>
      <c r="F67" s="181"/>
      <c r="G67" s="182"/>
      <c r="H67" s="182"/>
      <c r="I67" s="7"/>
      <c r="L67" s="183"/>
    </row>
    <row r="68" spans="1:12" x14ac:dyDescent="0.25">
      <c r="A68" s="4"/>
      <c r="B68" s="4"/>
      <c r="C68" s="4"/>
      <c r="D68" s="122"/>
      <c r="E68" s="4"/>
      <c r="F68" s="181"/>
      <c r="G68" s="182"/>
      <c r="H68" s="182"/>
      <c r="I68" s="7"/>
      <c r="L68" s="183"/>
    </row>
    <row r="69" spans="1:12" x14ac:dyDescent="0.25">
      <c r="A69" s="4"/>
      <c r="B69" s="4"/>
      <c r="C69" s="4"/>
      <c r="D69" s="122"/>
      <c r="E69" s="4"/>
      <c r="F69" s="181"/>
      <c r="G69" s="182"/>
      <c r="H69" s="182"/>
      <c r="I69" s="7"/>
      <c r="L69" s="183"/>
    </row>
    <row r="70" spans="1:12" x14ac:dyDescent="0.25">
      <c r="A70" s="4"/>
      <c r="B70" s="4"/>
      <c r="C70" s="4"/>
      <c r="D70" s="122"/>
      <c r="E70" s="4"/>
      <c r="F70" s="181"/>
      <c r="G70" s="182"/>
      <c r="H70" s="182"/>
      <c r="I70" s="7"/>
      <c r="L70" s="183"/>
    </row>
    <row r="71" spans="1:12" x14ac:dyDescent="0.25">
      <c r="A71" s="4"/>
      <c r="B71" s="4"/>
      <c r="C71" s="4"/>
      <c r="D71" s="122"/>
      <c r="E71" s="4"/>
      <c r="F71" s="181"/>
      <c r="G71" s="182"/>
      <c r="H71" s="182"/>
      <c r="I71" s="7"/>
      <c r="L71" s="183"/>
    </row>
    <row r="72" spans="1:12" x14ac:dyDescent="0.25">
      <c r="A72" s="4"/>
      <c r="B72" s="4"/>
      <c r="C72" s="4"/>
      <c r="D72" s="122"/>
      <c r="E72" s="4"/>
      <c r="F72" s="181"/>
      <c r="G72" s="182"/>
      <c r="H72" s="182"/>
      <c r="I72" s="7"/>
      <c r="L72" s="183"/>
    </row>
    <row r="73" spans="1:12" x14ac:dyDescent="0.25">
      <c r="A73" s="4"/>
      <c r="B73" s="4"/>
      <c r="C73" s="4"/>
      <c r="D73" s="122"/>
      <c r="E73" s="4"/>
      <c r="F73" s="181"/>
      <c r="G73" s="182"/>
      <c r="H73" s="182"/>
      <c r="I73" s="7"/>
      <c r="L73" s="183"/>
    </row>
    <row r="74" spans="1:12" x14ac:dyDescent="0.25">
      <c r="A74" s="4"/>
      <c r="B74" s="4"/>
      <c r="C74" s="4"/>
      <c r="D74" s="122"/>
      <c r="E74" s="4"/>
      <c r="F74" s="181"/>
      <c r="G74" s="182"/>
      <c r="H74" s="182"/>
      <c r="I74" s="7"/>
      <c r="L74" s="183"/>
    </row>
    <row r="75" spans="1:12" x14ac:dyDescent="0.25">
      <c r="A75" s="111"/>
      <c r="B75" s="111"/>
      <c r="C75" s="111"/>
      <c r="D75" s="111"/>
      <c r="E75" s="34"/>
      <c r="F75" s="185"/>
      <c r="G75" s="193"/>
      <c r="H75" s="193"/>
      <c r="I75" s="205"/>
      <c r="L75" s="183"/>
    </row>
    <row r="76" spans="1:12" ht="19.5" customHeight="1" thickBot="1" x14ac:dyDescent="0.3">
      <c r="E76" s="179"/>
      <c r="F76" s="179"/>
      <c r="G76" s="179"/>
      <c r="H76" s="179"/>
      <c r="L76" s="183"/>
    </row>
    <row r="77" spans="1:12" x14ac:dyDescent="0.25">
      <c r="F77" s="195"/>
      <c r="G77" s="195"/>
      <c r="H77" s="210"/>
    </row>
    <row r="78" spans="1:12" x14ac:dyDescent="0.25">
      <c r="F78" s="3"/>
      <c r="G78" s="3"/>
      <c r="H78" s="195"/>
      <c r="I78" s="208"/>
    </row>
    <row r="79" spans="1:12" x14ac:dyDescent="0.25">
      <c r="F79" s="3"/>
      <c r="G79" s="3"/>
      <c r="H79" s="3"/>
      <c r="I79" s="7"/>
    </row>
  </sheetData>
  <pageMargins left="0.7" right="0.7" top="0.75" bottom="0.75" header="0.3" footer="0.3"/>
  <pageSetup scale="95" orientation="portrait" r:id="rId1"/>
  <headerFooter>
    <oddFooter>&amp;L&amp;8ES102011123831RDD&amp;R&amp;8&amp;P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view="pageBreakPreview" zoomScaleNormal="55" zoomScaleSheetLayoutView="100" workbookViewId="0">
      <pane xSplit="1" ySplit="4" topLeftCell="B32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defaultColWidth="9.109375" defaultRowHeight="12" x14ac:dyDescent="0.25"/>
  <cols>
    <col min="1" max="1" width="9.44140625" style="98" customWidth="1"/>
    <col min="2" max="2" width="12.33203125" style="98" customWidth="1"/>
    <col min="3" max="5" width="10.5546875" style="98" customWidth="1"/>
    <col min="6" max="6" width="18" style="98" customWidth="1"/>
    <col min="7" max="7" width="11.44140625" style="98" customWidth="1"/>
    <col min="8" max="11" width="9.109375" style="98"/>
    <col min="12" max="14" width="9.109375" style="5"/>
    <col min="15" max="15" width="24.109375" style="5" customWidth="1"/>
    <col min="16" max="16" width="13.88671875" style="5" customWidth="1"/>
    <col min="17" max="16384" width="9.109375" style="5"/>
  </cols>
  <sheetData>
    <row r="1" spans="1:12" s="12" customFormat="1" ht="15.75" customHeight="1" x14ac:dyDescent="0.3">
      <c r="A1" s="90" t="s">
        <v>587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2" s="12" customFormat="1" ht="13.8" x14ac:dyDescent="0.3">
      <c r="A2" s="91" t="s">
        <v>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</row>
    <row r="3" spans="1:12" ht="6" customHeight="1" x14ac:dyDescent="0.25">
      <c r="A3" s="62"/>
    </row>
    <row r="4" spans="1:12" ht="27.75" customHeight="1" x14ac:dyDescent="0.25">
      <c r="A4" s="200" t="s">
        <v>278</v>
      </c>
      <c r="B4" s="200" t="s">
        <v>242</v>
      </c>
      <c r="C4" s="200" t="s">
        <v>588</v>
      </c>
      <c r="D4" s="200" t="s">
        <v>589</v>
      </c>
      <c r="E4" s="200" t="s">
        <v>590</v>
      </c>
      <c r="F4" s="200" t="s">
        <v>591</v>
      </c>
      <c r="G4" s="200" t="s">
        <v>582</v>
      </c>
      <c r="H4" s="197"/>
      <c r="I4" s="197"/>
    </row>
    <row r="5" spans="1:12" ht="12.9" customHeight="1" x14ac:dyDescent="0.25">
      <c r="A5" s="116">
        <v>1</v>
      </c>
      <c r="B5" s="116">
        <v>1</v>
      </c>
      <c r="C5" s="116">
        <v>250</v>
      </c>
      <c r="D5" s="142">
        <v>4.3</v>
      </c>
      <c r="E5" s="249">
        <f>C5/D5</f>
        <v>58.139534883720934</v>
      </c>
      <c r="F5" s="148">
        <f>AVERAGE(E5:E7)/1000</f>
        <v>5.9593023255813955E-2</v>
      </c>
      <c r="G5" s="148"/>
      <c r="H5" s="126"/>
      <c r="I5" s="104"/>
      <c r="L5" s="183"/>
    </row>
    <row r="6" spans="1:12" ht="12.9" customHeight="1" x14ac:dyDescent="0.25">
      <c r="A6" s="116"/>
      <c r="B6" s="116">
        <v>2</v>
      </c>
      <c r="C6" s="116">
        <v>250</v>
      </c>
      <c r="D6" s="142">
        <v>4.3</v>
      </c>
      <c r="E6" s="249">
        <f t="shared" ref="E6:E7" si="0">C6/D6</f>
        <v>58.139534883720934</v>
      </c>
      <c r="F6" s="250"/>
      <c r="G6" s="142"/>
      <c r="H6" s="126"/>
      <c r="I6" s="104"/>
      <c r="L6" s="183"/>
    </row>
    <row r="7" spans="1:12" ht="12.9" customHeight="1" x14ac:dyDescent="0.25">
      <c r="A7" s="116"/>
      <c r="B7" s="116">
        <v>3</v>
      </c>
      <c r="C7" s="116">
        <v>250</v>
      </c>
      <c r="D7" s="142">
        <v>4</v>
      </c>
      <c r="E7" s="249">
        <f t="shared" si="0"/>
        <v>62.5</v>
      </c>
      <c r="F7" s="250"/>
      <c r="G7" s="142"/>
      <c r="H7" s="126"/>
      <c r="I7" s="104"/>
      <c r="L7" s="183"/>
    </row>
    <row r="8" spans="1:12" ht="12.9" customHeight="1" x14ac:dyDescent="0.25">
      <c r="A8" s="251">
        <v>2</v>
      </c>
      <c r="B8" s="251">
        <v>1</v>
      </c>
      <c r="C8" s="251">
        <v>750</v>
      </c>
      <c r="D8" s="252">
        <v>2.2000000000000002</v>
      </c>
      <c r="E8" s="253">
        <f t="shared" ref="E8:E11" si="1">C8/D8</f>
        <v>340.90909090909088</v>
      </c>
      <c r="F8" s="254">
        <f>AVERAGE(E8:E11)/1000</f>
        <v>0.30197030993965335</v>
      </c>
      <c r="G8" s="252"/>
      <c r="H8" s="126"/>
      <c r="I8" s="104"/>
      <c r="L8" s="183"/>
    </row>
    <row r="9" spans="1:12" ht="12.9" customHeight="1" x14ac:dyDescent="0.25">
      <c r="A9" s="116"/>
      <c r="B9" s="116">
        <v>2</v>
      </c>
      <c r="C9" s="116">
        <v>400</v>
      </c>
      <c r="D9" s="142">
        <v>1.94</v>
      </c>
      <c r="E9" s="249">
        <f t="shared" si="1"/>
        <v>206.18556701030928</v>
      </c>
      <c r="F9" s="250"/>
      <c r="G9" s="142"/>
      <c r="H9" s="126"/>
      <c r="I9" s="104"/>
      <c r="L9" s="183"/>
    </row>
    <row r="10" spans="1:12" ht="12.9" customHeight="1" x14ac:dyDescent="0.25">
      <c r="A10" s="116"/>
      <c r="B10" s="116">
        <v>3</v>
      </c>
      <c r="C10" s="116">
        <v>700</v>
      </c>
      <c r="D10" s="142">
        <v>1.96</v>
      </c>
      <c r="E10" s="249">
        <f t="shared" si="1"/>
        <v>357.14285714285717</v>
      </c>
      <c r="F10" s="250"/>
      <c r="G10" s="142"/>
      <c r="H10" s="126"/>
      <c r="I10" s="104"/>
      <c r="L10" s="183"/>
    </row>
    <row r="11" spans="1:12" ht="12.9" customHeight="1" x14ac:dyDescent="0.25">
      <c r="A11" s="116"/>
      <c r="B11" s="116">
        <v>4</v>
      </c>
      <c r="C11" s="116">
        <v>750</v>
      </c>
      <c r="D11" s="142">
        <v>2.4700000000000002</v>
      </c>
      <c r="E11" s="249">
        <f t="shared" si="1"/>
        <v>303.64372469635623</v>
      </c>
      <c r="F11" s="250"/>
      <c r="G11" s="142"/>
      <c r="H11" s="126"/>
      <c r="I11" s="104"/>
      <c r="L11" s="183"/>
    </row>
    <row r="12" spans="1:12" ht="12.9" customHeight="1" x14ac:dyDescent="0.25">
      <c r="A12" s="251">
        <v>3</v>
      </c>
      <c r="B12" s="251">
        <v>1</v>
      </c>
      <c r="C12" s="251">
        <v>750</v>
      </c>
      <c r="D12" s="252">
        <v>6.53</v>
      </c>
      <c r="E12" s="253">
        <f t="shared" ref="E12:E13" si="2">C12/D12</f>
        <v>114.85451761102603</v>
      </c>
      <c r="F12" s="254">
        <f>AVERAGE(E12:E13)/1000</f>
        <v>0.11695106832932253</v>
      </c>
      <c r="G12" s="252"/>
      <c r="H12" s="126"/>
      <c r="I12" s="104"/>
      <c r="L12" s="183"/>
    </row>
    <row r="13" spans="1:12" ht="12.9" customHeight="1" x14ac:dyDescent="0.25">
      <c r="A13" s="116"/>
      <c r="B13" s="116">
        <v>2</v>
      </c>
      <c r="C13" s="116">
        <v>800</v>
      </c>
      <c r="D13" s="142">
        <v>6.72</v>
      </c>
      <c r="E13" s="249">
        <f t="shared" si="2"/>
        <v>119.04761904761905</v>
      </c>
      <c r="F13" s="250"/>
      <c r="G13" s="142"/>
      <c r="H13" s="126"/>
      <c r="I13" s="104"/>
      <c r="L13" s="183"/>
    </row>
    <row r="14" spans="1:12" ht="12.9" customHeight="1" x14ac:dyDescent="0.25">
      <c r="A14" s="251">
        <v>4</v>
      </c>
      <c r="B14" s="251">
        <v>1</v>
      </c>
      <c r="C14" s="251">
        <v>420</v>
      </c>
      <c r="D14" s="252">
        <v>2.4</v>
      </c>
      <c r="E14" s="253">
        <f t="shared" ref="E14:E20" si="3">C14/D14</f>
        <v>175</v>
      </c>
      <c r="F14" s="254">
        <f>AVERAGE(E14:E17)/1000</f>
        <v>0.19327380952380951</v>
      </c>
      <c r="G14" s="252"/>
      <c r="H14" s="126"/>
      <c r="I14" s="104"/>
      <c r="L14" s="183"/>
    </row>
    <row r="15" spans="1:12" ht="12.9" customHeight="1" x14ac:dyDescent="0.25">
      <c r="A15" s="116"/>
      <c r="B15" s="116">
        <v>2</v>
      </c>
      <c r="C15" s="116">
        <v>500</v>
      </c>
      <c r="D15" s="142">
        <v>2.1</v>
      </c>
      <c r="E15" s="249">
        <f t="shared" si="3"/>
        <v>238.09523809523807</v>
      </c>
      <c r="F15" s="250"/>
      <c r="G15" s="142"/>
      <c r="H15" s="126"/>
      <c r="I15" s="104"/>
      <c r="L15" s="183"/>
    </row>
    <row r="16" spans="1:12" ht="12.9" customHeight="1" x14ac:dyDescent="0.25">
      <c r="A16" s="116"/>
      <c r="B16" s="116">
        <v>3</v>
      </c>
      <c r="C16" s="116">
        <v>450</v>
      </c>
      <c r="D16" s="142">
        <v>2.5</v>
      </c>
      <c r="E16" s="249">
        <f t="shared" si="3"/>
        <v>180</v>
      </c>
      <c r="F16" s="250"/>
      <c r="G16" s="142"/>
      <c r="H16" s="126"/>
      <c r="I16" s="104"/>
      <c r="L16" s="183"/>
    </row>
    <row r="17" spans="1:12" ht="12.9" customHeight="1" x14ac:dyDescent="0.25">
      <c r="A17" s="116"/>
      <c r="B17" s="116">
        <v>4</v>
      </c>
      <c r="C17" s="116">
        <v>450</v>
      </c>
      <c r="D17" s="142">
        <v>2.5</v>
      </c>
      <c r="E17" s="249">
        <f>C17/D17</f>
        <v>180</v>
      </c>
      <c r="F17" s="250"/>
      <c r="G17" s="142"/>
      <c r="H17" s="126"/>
      <c r="I17" s="104"/>
      <c r="L17" s="183"/>
    </row>
    <row r="18" spans="1:12" ht="12.9" customHeight="1" x14ac:dyDescent="0.25">
      <c r="A18" s="251">
        <v>5</v>
      </c>
      <c r="B18" s="251">
        <v>1</v>
      </c>
      <c r="C18" s="251">
        <v>270</v>
      </c>
      <c r="D18" s="252">
        <v>3.1</v>
      </c>
      <c r="E18" s="253">
        <f t="shared" si="3"/>
        <v>87.096774193548384</v>
      </c>
      <c r="F18" s="254">
        <f>AVERAGE(E18:E20)/1000</f>
        <v>7.3535616141575152E-2</v>
      </c>
      <c r="G18" s="252"/>
      <c r="H18" s="126"/>
      <c r="I18" s="104"/>
      <c r="L18" s="183"/>
    </row>
    <row r="19" spans="1:12" ht="12.9" customHeight="1" x14ac:dyDescent="0.25">
      <c r="A19" s="116"/>
      <c r="B19" s="116">
        <v>2</v>
      </c>
      <c r="C19" s="116">
        <v>280</v>
      </c>
      <c r="D19" s="142">
        <v>4.0999999999999996</v>
      </c>
      <c r="E19" s="249">
        <f t="shared" si="3"/>
        <v>68.292682926829272</v>
      </c>
      <c r="F19" s="250"/>
      <c r="G19" s="142"/>
      <c r="H19" s="126"/>
      <c r="I19" s="104"/>
      <c r="L19" s="183"/>
    </row>
    <row r="20" spans="1:12" ht="12.9" customHeight="1" x14ac:dyDescent="0.25">
      <c r="A20" s="116"/>
      <c r="B20" s="116">
        <v>3</v>
      </c>
      <c r="C20" s="116">
        <v>300</v>
      </c>
      <c r="D20" s="142">
        <v>4.5999999999999996</v>
      </c>
      <c r="E20" s="249">
        <f t="shared" si="3"/>
        <v>65.217391304347828</v>
      </c>
      <c r="F20" s="250"/>
      <c r="G20" s="142"/>
      <c r="H20" s="126"/>
      <c r="I20" s="104"/>
      <c r="L20" s="183"/>
    </row>
    <row r="21" spans="1:12" ht="12.9" customHeight="1" x14ac:dyDescent="0.25">
      <c r="A21" s="251">
        <v>6</v>
      </c>
      <c r="B21" s="251">
        <v>1</v>
      </c>
      <c r="C21" s="251">
        <v>350</v>
      </c>
      <c r="D21" s="252">
        <v>7.6</v>
      </c>
      <c r="E21" s="253">
        <f t="shared" ref="E21:E24" si="4">C21/D21</f>
        <v>46.05263157894737</v>
      </c>
      <c r="F21" s="254">
        <f>AVERAGE(E21:E24)/1000</f>
        <v>5.0102086189547493E-2</v>
      </c>
      <c r="G21" s="252"/>
      <c r="H21" s="126"/>
      <c r="I21" s="104"/>
      <c r="L21" s="183"/>
    </row>
    <row r="22" spans="1:12" ht="12.9" customHeight="1" x14ac:dyDescent="0.25">
      <c r="A22" s="116"/>
      <c r="B22" s="116">
        <v>2</v>
      </c>
      <c r="C22" s="116">
        <v>400</v>
      </c>
      <c r="D22" s="142">
        <v>7.8</v>
      </c>
      <c r="E22" s="249">
        <f t="shared" si="4"/>
        <v>51.282051282051285</v>
      </c>
      <c r="F22" s="250"/>
      <c r="G22" s="148"/>
      <c r="H22" s="126"/>
      <c r="I22" s="104"/>
      <c r="L22" s="183"/>
    </row>
    <row r="23" spans="1:12" ht="12.9" customHeight="1" x14ac:dyDescent="0.25">
      <c r="A23" s="116"/>
      <c r="B23" s="116">
        <v>3</v>
      </c>
      <c r="C23" s="116">
        <v>500</v>
      </c>
      <c r="D23" s="142">
        <v>10.199999999999999</v>
      </c>
      <c r="E23" s="249">
        <f t="shared" si="4"/>
        <v>49.019607843137258</v>
      </c>
      <c r="F23" s="250"/>
      <c r="G23" s="255"/>
      <c r="H23" s="197"/>
      <c r="K23" s="243"/>
    </row>
    <row r="24" spans="1:12" ht="12.9" customHeight="1" x14ac:dyDescent="0.25">
      <c r="A24" s="116"/>
      <c r="B24" s="116">
        <v>4</v>
      </c>
      <c r="C24" s="116">
        <v>400</v>
      </c>
      <c r="D24" s="142">
        <v>7.4</v>
      </c>
      <c r="E24" s="249">
        <f t="shared" si="4"/>
        <v>54.054054054054049</v>
      </c>
      <c r="F24" s="250"/>
      <c r="G24" s="148"/>
      <c r="H24" s="215"/>
      <c r="K24" s="243"/>
    </row>
    <row r="25" spans="1:12" ht="12.9" customHeight="1" x14ac:dyDescent="0.25">
      <c r="A25" s="251">
        <v>7</v>
      </c>
      <c r="B25" s="251">
        <v>1</v>
      </c>
      <c r="C25" s="251">
        <v>300</v>
      </c>
      <c r="D25" s="252">
        <v>9.4</v>
      </c>
      <c r="E25" s="253">
        <f t="shared" ref="E25:E31" si="5">C25/D25</f>
        <v>31.914893617021274</v>
      </c>
      <c r="F25" s="254">
        <f>AVERAGE(E25:E28)/1000</f>
        <v>2.6959152967832443E-2</v>
      </c>
      <c r="G25" s="251"/>
    </row>
    <row r="26" spans="1:12" ht="12.9" customHeight="1" x14ac:dyDescent="0.25">
      <c r="A26" s="116"/>
      <c r="B26" s="116">
        <v>2</v>
      </c>
      <c r="C26" s="116">
        <v>280</v>
      </c>
      <c r="D26" s="142">
        <v>10.9</v>
      </c>
      <c r="E26" s="249">
        <f t="shared" si="5"/>
        <v>25.688073394495412</v>
      </c>
      <c r="F26" s="250"/>
      <c r="G26" s="255"/>
      <c r="H26" s="197"/>
      <c r="I26" s="197"/>
    </row>
    <row r="27" spans="1:12" ht="12.9" customHeight="1" x14ac:dyDescent="0.25">
      <c r="A27" s="116"/>
      <c r="B27" s="116">
        <v>3</v>
      </c>
      <c r="C27" s="116">
        <v>270</v>
      </c>
      <c r="D27" s="142">
        <v>10.7</v>
      </c>
      <c r="E27" s="249">
        <f t="shared" si="5"/>
        <v>25.233644859813086</v>
      </c>
      <c r="F27" s="250"/>
      <c r="G27" s="148"/>
      <c r="H27" s="126"/>
      <c r="I27" s="104"/>
      <c r="L27" s="183"/>
    </row>
    <row r="28" spans="1:12" ht="12.9" customHeight="1" x14ac:dyDescent="0.25">
      <c r="A28" s="116"/>
      <c r="B28" s="116">
        <v>4</v>
      </c>
      <c r="C28" s="116">
        <v>220</v>
      </c>
      <c r="D28" s="142">
        <v>8.8000000000000007</v>
      </c>
      <c r="E28" s="249">
        <f t="shared" si="5"/>
        <v>24.999999999999996</v>
      </c>
      <c r="F28" s="250"/>
      <c r="G28" s="142"/>
      <c r="H28" s="126"/>
      <c r="I28" s="104"/>
      <c r="L28" s="183"/>
    </row>
    <row r="29" spans="1:12" ht="12.9" customHeight="1" x14ac:dyDescent="0.25">
      <c r="A29" s="251">
        <v>8</v>
      </c>
      <c r="B29" s="251">
        <v>1</v>
      </c>
      <c r="C29" s="251">
        <v>280</v>
      </c>
      <c r="D29" s="252">
        <v>3.5</v>
      </c>
      <c r="E29" s="253">
        <f t="shared" si="5"/>
        <v>80</v>
      </c>
      <c r="F29" s="254">
        <f>AVERAGE(E29:E31)/1000</f>
        <v>7.6016260162601629E-2</v>
      </c>
      <c r="G29" s="252"/>
      <c r="H29" s="126"/>
      <c r="I29" s="104"/>
      <c r="L29" s="183"/>
    </row>
    <row r="30" spans="1:12" ht="12.9" customHeight="1" x14ac:dyDescent="0.25">
      <c r="A30" s="116"/>
      <c r="B30" s="116">
        <v>2</v>
      </c>
      <c r="C30" s="116">
        <v>320</v>
      </c>
      <c r="D30" s="142">
        <v>4.0999999999999996</v>
      </c>
      <c r="E30" s="249">
        <f t="shared" si="5"/>
        <v>78.048780487804891</v>
      </c>
      <c r="F30" s="250"/>
      <c r="G30" s="142"/>
      <c r="H30" s="126"/>
      <c r="I30" s="104"/>
      <c r="L30" s="183"/>
    </row>
    <row r="31" spans="1:12" ht="12.9" customHeight="1" x14ac:dyDescent="0.25">
      <c r="A31" s="116"/>
      <c r="B31" s="116">
        <v>3</v>
      </c>
      <c r="C31" s="116">
        <v>350</v>
      </c>
      <c r="D31" s="142">
        <v>5</v>
      </c>
      <c r="E31" s="249">
        <f t="shared" si="5"/>
        <v>70</v>
      </c>
      <c r="F31" s="250"/>
      <c r="G31" s="142"/>
      <c r="H31" s="126"/>
      <c r="I31" s="104"/>
      <c r="L31" s="183"/>
    </row>
    <row r="32" spans="1:12" ht="12.9" customHeight="1" x14ac:dyDescent="0.25">
      <c r="A32" s="251">
        <v>9</v>
      </c>
      <c r="B32" s="251">
        <v>1</v>
      </c>
      <c r="C32" s="251">
        <v>530</v>
      </c>
      <c r="D32" s="252">
        <v>4.9400000000000004</v>
      </c>
      <c r="E32" s="253">
        <f t="shared" ref="E32:E46" si="6">C32/D32</f>
        <v>107.28744939271255</v>
      </c>
      <c r="F32" s="254">
        <f>AVERAGE(E32:E35)/1000</f>
        <v>0.16009131032879315</v>
      </c>
      <c r="G32" s="252"/>
      <c r="H32" s="126"/>
      <c r="I32" s="104"/>
      <c r="L32" s="183"/>
    </row>
    <row r="33" spans="1:17" ht="12.9" customHeight="1" x14ac:dyDescent="0.25">
      <c r="A33" s="116"/>
      <c r="B33" s="116">
        <v>2</v>
      </c>
      <c r="C33" s="116">
        <v>680</v>
      </c>
      <c r="D33" s="142">
        <v>4.12</v>
      </c>
      <c r="E33" s="249">
        <f t="shared" si="6"/>
        <v>165.04854368932038</v>
      </c>
      <c r="F33" s="250"/>
      <c r="G33" s="142"/>
      <c r="H33" s="126"/>
      <c r="I33" s="104"/>
      <c r="L33" s="183"/>
    </row>
    <row r="34" spans="1:17" ht="12.9" customHeight="1" x14ac:dyDescent="0.25">
      <c r="A34" s="116"/>
      <c r="B34" s="116">
        <v>3</v>
      </c>
      <c r="C34" s="116">
        <v>690</v>
      </c>
      <c r="D34" s="142">
        <v>3.97</v>
      </c>
      <c r="E34" s="249">
        <f t="shared" si="6"/>
        <v>173.8035264483627</v>
      </c>
      <c r="F34" s="250"/>
      <c r="G34" s="142"/>
      <c r="H34" s="126"/>
      <c r="I34" s="104"/>
      <c r="L34" s="183"/>
      <c r="P34" s="191"/>
    </row>
    <row r="35" spans="1:17" ht="12.9" customHeight="1" x14ac:dyDescent="0.25">
      <c r="A35" s="116"/>
      <c r="B35" s="116">
        <v>4</v>
      </c>
      <c r="C35" s="116">
        <v>740</v>
      </c>
      <c r="D35" s="142">
        <v>3.81</v>
      </c>
      <c r="E35" s="249">
        <f t="shared" si="6"/>
        <v>194.22572178477691</v>
      </c>
      <c r="F35" s="250"/>
      <c r="G35" s="142"/>
      <c r="H35" s="126"/>
      <c r="I35" s="104"/>
      <c r="L35" s="183"/>
      <c r="P35" s="191"/>
    </row>
    <row r="36" spans="1:17" ht="12.9" customHeight="1" x14ac:dyDescent="0.25">
      <c r="A36" s="251">
        <v>10</v>
      </c>
      <c r="B36" s="251">
        <v>1</v>
      </c>
      <c r="C36" s="251">
        <v>640</v>
      </c>
      <c r="D36" s="252">
        <v>3.72</v>
      </c>
      <c r="E36" s="253">
        <f t="shared" si="6"/>
        <v>172.04301075268816</v>
      </c>
      <c r="F36" s="254">
        <f>AVERAGE(E36:E39)/1000</f>
        <v>0.16432883547684307</v>
      </c>
      <c r="G36" s="252"/>
      <c r="H36" s="126"/>
      <c r="I36" s="104"/>
      <c r="L36" s="183"/>
      <c r="Q36" s="192"/>
    </row>
    <row r="37" spans="1:17" ht="12.9" customHeight="1" x14ac:dyDescent="0.25">
      <c r="A37" s="116"/>
      <c r="B37" s="116">
        <v>2</v>
      </c>
      <c r="C37" s="116">
        <v>700</v>
      </c>
      <c r="D37" s="142">
        <v>4.32</v>
      </c>
      <c r="E37" s="249">
        <f t="shared" si="6"/>
        <v>162.03703703703704</v>
      </c>
      <c r="F37" s="250"/>
      <c r="G37" s="142"/>
      <c r="H37" s="126"/>
      <c r="I37" s="104"/>
      <c r="L37" s="183"/>
      <c r="Q37" s="192"/>
    </row>
    <row r="38" spans="1:17" ht="12.9" customHeight="1" x14ac:dyDescent="0.25">
      <c r="A38" s="116"/>
      <c r="B38" s="116">
        <v>3</v>
      </c>
      <c r="C38" s="116">
        <v>630</v>
      </c>
      <c r="D38" s="142">
        <v>4.25</v>
      </c>
      <c r="E38" s="249">
        <f>C38/D38</f>
        <v>148.23529411764707</v>
      </c>
      <c r="F38" s="250"/>
      <c r="G38" s="142"/>
      <c r="H38" s="126"/>
      <c r="I38" s="104"/>
      <c r="L38" s="183"/>
      <c r="Q38" s="192"/>
    </row>
    <row r="39" spans="1:17" ht="12.9" customHeight="1" x14ac:dyDescent="0.25">
      <c r="A39" s="116"/>
      <c r="B39" s="116">
        <v>4</v>
      </c>
      <c r="C39" s="116">
        <v>700</v>
      </c>
      <c r="D39" s="142">
        <v>4</v>
      </c>
      <c r="E39" s="249">
        <f t="shared" si="6"/>
        <v>175</v>
      </c>
      <c r="F39" s="250"/>
      <c r="G39" s="142"/>
      <c r="H39" s="126"/>
      <c r="I39" s="104"/>
      <c r="L39" s="183"/>
    </row>
    <row r="40" spans="1:17" ht="12.9" customHeight="1" x14ac:dyDescent="0.25">
      <c r="A40" s="251">
        <v>11</v>
      </c>
      <c r="B40" s="251">
        <v>1</v>
      </c>
      <c r="C40" s="251">
        <v>420</v>
      </c>
      <c r="D40" s="252">
        <v>3.6</v>
      </c>
      <c r="E40" s="253">
        <f t="shared" si="6"/>
        <v>116.66666666666666</v>
      </c>
      <c r="F40" s="254">
        <f>AVERAGE(E40:E43)/1000</f>
        <v>0.11732017982017982</v>
      </c>
      <c r="G40" s="252"/>
      <c r="H40" s="126"/>
      <c r="I40" s="104"/>
      <c r="L40" s="183"/>
    </row>
    <row r="41" spans="1:17" ht="12.9" customHeight="1" x14ac:dyDescent="0.25">
      <c r="A41" s="116"/>
      <c r="B41" s="116">
        <v>2</v>
      </c>
      <c r="C41" s="116">
        <v>390</v>
      </c>
      <c r="D41" s="142">
        <v>3.3</v>
      </c>
      <c r="E41" s="249">
        <f t="shared" si="6"/>
        <v>118.18181818181819</v>
      </c>
      <c r="F41" s="250"/>
      <c r="G41" s="142"/>
      <c r="H41" s="126"/>
      <c r="I41" s="104"/>
      <c r="L41" s="183"/>
    </row>
    <row r="42" spans="1:17" ht="12.9" customHeight="1" x14ac:dyDescent="0.25">
      <c r="A42" s="116"/>
      <c r="B42" s="116">
        <v>3</v>
      </c>
      <c r="C42" s="116">
        <v>450</v>
      </c>
      <c r="D42" s="142">
        <v>3.9</v>
      </c>
      <c r="E42" s="249">
        <f t="shared" si="6"/>
        <v>115.38461538461539</v>
      </c>
      <c r="F42" s="250"/>
      <c r="G42" s="142"/>
      <c r="H42" s="126"/>
      <c r="I42" s="104"/>
      <c r="L42" s="183"/>
    </row>
    <row r="43" spans="1:17" ht="12.9" customHeight="1" x14ac:dyDescent="0.25">
      <c r="A43" s="116"/>
      <c r="B43" s="116">
        <v>4</v>
      </c>
      <c r="C43" s="116">
        <v>500</v>
      </c>
      <c r="D43" s="142">
        <v>4.2</v>
      </c>
      <c r="E43" s="249">
        <f t="shared" si="6"/>
        <v>119.04761904761904</v>
      </c>
      <c r="F43" s="250"/>
      <c r="G43" s="142"/>
      <c r="H43" s="126"/>
      <c r="I43" s="104"/>
      <c r="L43" s="183"/>
    </row>
    <row r="44" spans="1:17" ht="12.9" customHeight="1" x14ac:dyDescent="0.25">
      <c r="A44" s="251">
        <v>12</v>
      </c>
      <c r="B44" s="251">
        <v>1</v>
      </c>
      <c r="C44" s="251">
        <v>280</v>
      </c>
      <c r="D44" s="252">
        <v>8.3000000000000007</v>
      </c>
      <c r="E44" s="253">
        <f t="shared" si="6"/>
        <v>33.734939759036145</v>
      </c>
      <c r="F44" s="254">
        <f>AVERAGE(E44:E46)/1000</f>
        <v>3.9114905716274087E-2</v>
      </c>
      <c r="G44" s="252"/>
      <c r="H44" s="126"/>
      <c r="I44" s="104"/>
      <c r="L44" s="183"/>
    </row>
    <row r="45" spans="1:17" ht="12.9" customHeight="1" x14ac:dyDescent="0.25">
      <c r="A45" s="116"/>
      <c r="B45" s="116">
        <v>2</v>
      </c>
      <c r="C45" s="116">
        <v>250</v>
      </c>
      <c r="D45" s="142">
        <v>5.8</v>
      </c>
      <c r="E45" s="249">
        <f t="shared" si="6"/>
        <v>43.103448275862071</v>
      </c>
      <c r="F45" s="250"/>
      <c r="G45" s="142"/>
      <c r="H45" s="126"/>
      <c r="I45" s="104"/>
      <c r="L45" s="183"/>
    </row>
    <row r="46" spans="1:17" ht="12.9" customHeight="1" x14ac:dyDescent="0.25">
      <c r="A46" s="116"/>
      <c r="B46" s="116">
        <v>3</v>
      </c>
      <c r="C46" s="116">
        <v>320</v>
      </c>
      <c r="D46" s="142">
        <v>7.9</v>
      </c>
      <c r="E46" s="249">
        <f t="shared" si="6"/>
        <v>40.506329113924046</v>
      </c>
      <c r="F46" s="250"/>
      <c r="G46" s="142"/>
      <c r="H46" s="126"/>
      <c r="I46" s="104"/>
      <c r="L46" s="183"/>
    </row>
    <row r="47" spans="1:17" ht="12.9" customHeight="1" x14ac:dyDescent="0.25">
      <c r="A47" s="256"/>
      <c r="B47" s="256"/>
      <c r="C47" s="256"/>
      <c r="D47" s="256"/>
      <c r="E47" s="200" t="s">
        <v>229</v>
      </c>
      <c r="F47" s="257">
        <f>SUM(F5:F46)</f>
        <v>1.379256557852246</v>
      </c>
      <c r="G47" s="200"/>
      <c r="H47" s="197"/>
    </row>
    <row r="48" spans="1:17" x14ac:dyDescent="0.25">
      <c r="A48" s="245" t="s">
        <v>64</v>
      </c>
      <c r="B48" s="197"/>
      <c r="C48" s="197"/>
      <c r="D48" s="197"/>
      <c r="E48" s="197"/>
      <c r="F48" s="197"/>
      <c r="G48" s="197"/>
      <c r="H48" s="197"/>
      <c r="I48" s="197"/>
    </row>
    <row r="49" spans="1:12" x14ac:dyDescent="0.25">
      <c r="A49" s="217" t="s">
        <v>544</v>
      </c>
      <c r="B49" s="104"/>
      <c r="C49" s="104"/>
      <c r="D49" s="104"/>
      <c r="E49" s="104"/>
      <c r="F49" s="45"/>
      <c r="G49" s="45"/>
      <c r="H49" s="45"/>
      <c r="I49" s="30"/>
      <c r="L49" s="183"/>
    </row>
    <row r="50" spans="1:12" x14ac:dyDescent="0.25">
      <c r="A50" s="217" t="s">
        <v>546</v>
      </c>
      <c r="B50" s="104"/>
      <c r="C50" s="104"/>
      <c r="D50" s="126"/>
      <c r="E50" s="104"/>
      <c r="F50" s="213"/>
      <c r="G50" s="45"/>
      <c r="H50" s="45"/>
      <c r="I50" s="30"/>
      <c r="L50" s="183"/>
    </row>
    <row r="51" spans="1:12" x14ac:dyDescent="0.25">
      <c r="A51" s="217" t="s">
        <v>545</v>
      </c>
      <c r="B51" s="104"/>
      <c r="C51" s="104"/>
      <c r="D51" s="126"/>
      <c r="E51" s="104"/>
      <c r="F51" s="213"/>
      <c r="G51" s="45"/>
      <c r="H51" s="45"/>
      <c r="I51" s="30"/>
      <c r="L51" s="183"/>
    </row>
    <row r="52" spans="1:12" x14ac:dyDescent="0.25">
      <c r="A52" s="217" t="s">
        <v>547</v>
      </c>
      <c r="B52" s="104"/>
      <c r="C52" s="104"/>
      <c r="D52" s="126"/>
      <c r="E52" s="104"/>
      <c r="F52" s="213"/>
      <c r="G52" s="45"/>
      <c r="H52" s="45"/>
      <c r="I52" s="30"/>
      <c r="L52" s="183"/>
    </row>
    <row r="53" spans="1:12" x14ac:dyDescent="0.25">
      <c r="A53" s="104"/>
      <c r="B53" s="104"/>
      <c r="C53" s="104"/>
      <c r="D53" s="126"/>
      <c r="E53" s="104"/>
      <c r="F53" s="213"/>
      <c r="G53" s="45"/>
      <c r="H53" s="45"/>
      <c r="I53" s="30"/>
      <c r="L53" s="183"/>
    </row>
    <row r="54" spans="1:12" x14ac:dyDescent="0.25">
      <c r="A54" s="104"/>
      <c r="B54" s="104"/>
      <c r="C54" s="104"/>
      <c r="D54" s="126"/>
      <c r="E54" s="104"/>
      <c r="F54" s="213"/>
      <c r="G54" s="45"/>
      <c r="H54" s="45"/>
      <c r="I54" s="30"/>
      <c r="L54" s="183"/>
    </row>
    <row r="55" spans="1:12" x14ac:dyDescent="0.25">
      <c r="A55" s="104"/>
      <c r="B55" s="104"/>
      <c r="C55" s="104"/>
      <c r="D55" s="126"/>
      <c r="E55" s="104"/>
      <c r="F55" s="213"/>
      <c r="G55" s="45"/>
      <c r="H55" s="45"/>
      <c r="I55" s="30"/>
      <c r="L55" s="183"/>
    </row>
    <row r="56" spans="1:12" x14ac:dyDescent="0.25">
      <c r="A56" s="104"/>
      <c r="B56" s="104"/>
      <c r="C56" s="104"/>
      <c r="D56" s="126"/>
      <c r="E56" s="104"/>
      <c r="F56" s="213"/>
      <c r="G56" s="45"/>
      <c r="H56" s="45"/>
      <c r="I56" s="30"/>
      <c r="L56" s="183"/>
    </row>
    <row r="57" spans="1:12" x14ac:dyDescent="0.25">
      <c r="A57" s="104"/>
      <c r="B57" s="104"/>
      <c r="C57" s="104"/>
      <c r="D57" s="126"/>
      <c r="E57" s="104"/>
      <c r="F57" s="213"/>
      <c r="G57" s="45"/>
      <c r="H57" s="45"/>
      <c r="I57" s="30"/>
      <c r="L57" s="183"/>
    </row>
    <row r="58" spans="1:12" x14ac:dyDescent="0.25">
      <c r="A58" s="104"/>
      <c r="B58" s="104"/>
      <c r="C58" s="104"/>
      <c r="D58" s="126"/>
      <c r="E58" s="104"/>
      <c r="F58" s="213"/>
      <c r="G58" s="45"/>
      <c r="H58" s="45"/>
      <c r="I58" s="30"/>
      <c r="L58" s="183"/>
    </row>
    <row r="59" spans="1:12" x14ac:dyDescent="0.25">
      <c r="A59" s="104"/>
      <c r="B59" s="104"/>
      <c r="C59" s="104"/>
      <c r="D59" s="126"/>
      <c r="E59" s="104"/>
      <c r="F59" s="213"/>
      <c r="G59" s="45"/>
      <c r="H59" s="45"/>
      <c r="I59" s="30"/>
      <c r="L59" s="183"/>
    </row>
    <row r="60" spans="1:12" x14ac:dyDescent="0.25">
      <c r="A60" s="104"/>
      <c r="B60" s="104"/>
      <c r="C60" s="104"/>
      <c r="D60" s="126"/>
      <c r="E60" s="104"/>
      <c r="F60" s="213"/>
      <c r="G60" s="45"/>
      <c r="H60" s="45"/>
      <c r="I60" s="30"/>
      <c r="L60" s="183"/>
    </row>
    <row r="61" spans="1:12" x14ac:dyDescent="0.25">
      <c r="A61" s="104"/>
      <c r="B61" s="104"/>
      <c r="C61" s="104"/>
      <c r="D61" s="126"/>
      <c r="E61" s="104"/>
      <c r="F61" s="213"/>
      <c r="G61" s="45"/>
      <c r="H61" s="45"/>
      <c r="I61" s="30"/>
      <c r="L61" s="183"/>
    </row>
    <row r="62" spans="1:12" x14ac:dyDescent="0.25">
      <c r="A62" s="104"/>
      <c r="B62" s="104"/>
      <c r="C62" s="104"/>
      <c r="D62" s="126"/>
      <c r="E62" s="104"/>
      <c r="F62" s="213"/>
      <c r="G62" s="45"/>
      <c r="H62" s="45"/>
      <c r="I62" s="30"/>
      <c r="L62" s="183"/>
    </row>
    <row r="63" spans="1:12" x14ac:dyDescent="0.25">
      <c r="A63" s="104"/>
      <c r="B63" s="104"/>
      <c r="C63" s="104"/>
      <c r="D63" s="126"/>
      <c r="E63" s="104"/>
      <c r="F63" s="213"/>
      <c r="G63" s="45"/>
      <c r="H63" s="45"/>
      <c r="I63" s="30"/>
      <c r="L63" s="183"/>
    </row>
    <row r="64" spans="1:12" x14ac:dyDescent="0.25">
      <c r="A64" s="104"/>
      <c r="B64" s="104"/>
      <c r="C64" s="104"/>
      <c r="D64" s="126"/>
      <c r="E64" s="104"/>
      <c r="F64" s="213"/>
      <c r="G64" s="45"/>
      <c r="H64" s="45"/>
      <c r="I64" s="30"/>
      <c r="L64" s="183"/>
    </row>
    <row r="65" spans="1:12" x14ac:dyDescent="0.25">
      <c r="A65" s="104"/>
      <c r="B65" s="104"/>
      <c r="C65" s="104"/>
      <c r="D65" s="126"/>
      <c r="E65" s="104"/>
      <c r="F65" s="213"/>
      <c r="G65" s="45"/>
      <c r="H65" s="45"/>
      <c r="I65" s="30"/>
      <c r="L65" s="183"/>
    </row>
    <row r="66" spans="1:12" x14ac:dyDescent="0.25">
      <c r="A66" s="104"/>
      <c r="B66" s="104"/>
      <c r="C66" s="104"/>
      <c r="D66" s="126"/>
      <c r="E66" s="104"/>
      <c r="F66" s="213"/>
      <c r="G66" s="45"/>
      <c r="H66" s="45"/>
      <c r="I66" s="30"/>
      <c r="L66" s="183"/>
    </row>
    <row r="67" spans="1:12" x14ac:dyDescent="0.25">
      <c r="A67" s="104"/>
      <c r="B67" s="104"/>
      <c r="C67" s="104"/>
      <c r="D67" s="104"/>
      <c r="E67" s="30"/>
      <c r="F67" s="213"/>
      <c r="G67" s="45"/>
      <c r="H67" s="45"/>
      <c r="I67" s="104"/>
      <c r="L67" s="183"/>
    </row>
    <row r="68" spans="1:12" ht="19.5" customHeight="1" x14ac:dyDescent="0.25">
      <c r="E68" s="197"/>
      <c r="F68" s="197"/>
      <c r="G68" s="197"/>
      <c r="H68" s="197"/>
      <c r="L68" s="183"/>
    </row>
    <row r="69" spans="1:12" x14ac:dyDescent="0.25">
      <c r="F69" s="214"/>
      <c r="G69" s="214"/>
      <c r="H69" s="215"/>
    </row>
    <row r="70" spans="1:12" x14ac:dyDescent="0.25">
      <c r="F70" s="246"/>
      <c r="G70" s="246"/>
      <c r="H70" s="214"/>
      <c r="I70" s="214"/>
    </row>
    <row r="71" spans="1:12" x14ac:dyDescent="0.25">
      <c r="F71" s="246"/>
      <c r="G71" s="246"/>
      <c r="H71" s="246"/>
      <c r="I71" s="246"/>
    </row>
  </sheetData>
  <pageMargins left="0.7" right="0.7" top="0.75" bottom="0.75" header="0.3" footer="0.3"/>
  <pageSetup orientation="portrait" r:id="rId1"/>
  <headerFooter>
    <oddFooter>&amp;L&amp;8ES102011123831RDD&amp;R&amp;8&amp;P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view="pageBreakPreview" zoomScaleNormal="55" zoomScaleSheetLayoutView="100" workbookViewId="0">
      <pane xSplit="1" ySplit="4" topLeftCell="B51" activePane="bottomRight" state="frozen"/>
      <selection pane="topRight" activeCell="B1" sqref="B1"/>
      <selection pane="bottomLeft" activeCell="A5" sqref="A5"/>
      <selection pane="bottomRight" activeCell="C63" sqref="C63"/>
    </sheetView>
  </sheetViews>
  <sheetFormatPr defaultColWidth="9.109375" defaultRowHeight="12" x14ac:dyDescent="0.25"/>
  <cols>
    <col min="1" max="1" width="10.44140625" style="98" customWidth="1"/>
    <col min="2" max="8" width="12.88671875" style="98" customWidth="1"/>
    <col min="9" max="9" width="14.88671875" style="217" customWidth="1"/>
    <col min="10" max="14" width="9.109375" style="5"/>
    <col min="15" max="15" width="24.109375" style="5" customWidth="1"/>
    <col min="16" max="16" width="13.88671875" style="5" customWidth="1"/>
    <col min="17" max="16384" width="9.109375" style="5"/>
  </cols>
  <sheetData>
    <row r="1" spans="1:12" s="12" customFormat="1" ht="14.25" customHeight="1" x14ac:dyDescent="0.3">
      <c r="A1" s="90" t="s">
        <v>592</v>
      </c>
      <c r="B1" s="248"/>
      <c r="C1" s="248"/>
      <c r="D1" s="248"/>
      <c r="E1" s="248"/>
      <c r="F1" s="248"/>
      <c r="G1" s="248"/>
      <c r="H1" s="248"/>
      <c r="I1" s="247"/>
    </row>
    <row r="2" spans="1:12" s="12" customFormat="1" ht="14.25" customHeight="1" x14ac:dyDescent="0.3">
      <c r="A2" s="91" t="s">
        <v>0</v>
      </c>
      <c r="B2" s="248"/>
      <c r="C2" s="248"/>
      <c r="D2" s="248"/>
      <c r="E2" s="248"/>
      <c r="F2" s="248"/>
      <c r="G2" s="248"/>
      <c r="H2" s="248"/>
      <c r="I2" s="247"/>
    </row>
    <row r="3" spans="1:12" ht="6.75" customHeight="1" x14ac:dyDescent="0.25">
      <c r="A3" s="62"/>
    </row>
    <row r="4" spans="1:12" s="137" customFormat="1" ht="25.8" x14ac:dyDescent="0.3">
      <c r="A4" s="200" t="s">
        <v>220</v>
      </c>
      <c r="B4" s="200" t="s">
        <v>577</v>
      </c>
      <c r="C4" s="200" t="s">
        <v>578</v>
      </c>
      <c r="D4" s="200" t="s">
        <v>575</v>
      </c>
      <c r="E4" s="200" t="s">
        <v>579</v>
      </c>
      <c r="F4" s="200" t="s">
        <v>576</v>
      </c>
      <c r="G4" s="200" t="s">
        <v>580</v>
      </c>
      <c r="H4" s="200" t="s">
        <v>593</v>
      </c>
      <c r="I4" s="204" t="s">
        <v>582</v>
      </c>
      <c r="L4" s="263"/>
    </row>
    <row r="5" spans="1:12" s="137" customFormat="1" ht="14.1" customHeight="1" x14ac:dyDescent="0.3">
      <c r="A5" s="135" t="s">
        <v>529</v>
      </c>
      <c r="B5" s="117"/>
      <c r="C5" s="117"/>
      <c r="D5" s="117"/>
      <c r="E5" s="117"/>
      <c r="F5" s="117"/>
      <c r="G5" s="117"/>
      <c r="H5" s="117"/>
      <c r="I5" s="264"/>
    </row>
    <row r="6" spans="1:12" ht="12.9" customHeight="1" x14ac:dyDescent="0.25">
      <c r="A6" s="104">
        <v>0</v>
      </c>
      <c r="B6" s="104">
        <v>0.75</v>
      </c>
      <c r="C6" s="104">
        <v>0</v>
      </c>
      <c r="D6" s="104">
        <f>C6/3.281</f>
        <v>0</v>
      </c>
      <c r="E6" s="104">
        <v>0</v>
      </c>
      <c r="F6" s="213">
        <f>AVERAGE(D6:D7)*0.5*(B7-B6)</f>
        <v>3.8098140810728437E-3</v>
      </c>
      <c r="G6" s="213">
        <f>F6*0.5*E7</f>
        <v>1.3334349283754954E-4</v>
      </c>
      <c r="H6" s="126">
        <f>G6*1000</f>
        <v>0.13334349283754954</v>
      </c>
      <c r="I6" s="217" t="s">
        <v>225</v>
      </c>
      <c r="L6" s="183"/>
    </row>
    <row r="7" spans="1:12" ht="12.9" customHeight="1" x14ac:dyDescent="0.25">
      <c r="A7" s="104">
        <v>1</v>
      </c>
      <c r="B7" s="104">
        <v>1</v>
      </c>
      <c r="C7" s="104">
        <v>0.2</v>
      </c>
      <c r="D7" s="126">
        <f t="shared" ref="D7:D13" si="0">C7/3.281</f>
        <v>6.0957025297165499E-2</v>
      </c>
      <c r="E7" s="104">
        <v>7.0000000000000007E-2</v>
      </c>
      <c r="F7" s="213">
        <f>(0.5*(B7-B6)+0.5*(B8-B7))*D7</f>
        <v>1.3715330691862235E-2</v>
      </c>
      <c r="G7" s="258">
        <f>F7*E7</f>
        <v>9.6007314843035653E-4</v>
      </c>
      <c r="H7" s="126">
        <f t="shared" ref="H7:H13" si="1">G7*1000</f>
        <v>0.96007314843035652</v>
      </c>
      <c r="L7" s="183"/>
    </row>
    <row r="8" spans="1:12" ht="12.9" customHeight="1" x14ac:dyDescent="0.25">
      <c r="A8" s="104">
        <v>2</v>
      </c>
      <c r="B8" s="104">
        <v>1.2</v>
      </c>
      <c r="C8" s="104">
        <v>0.2</v>
      </c>
      <c r="D8" s="126">
        <f t="shared" si="0"/>
        <v>6.0957025297165499E-2</v>
      </c>
      <c r="E8" s="104">
        <v>0.16</v>
      </c>
      <c r="F8" s="213">
        <f t="shared" ref="F8:F12" si="2">(0.5*(B8-B7)+0.5*(B9-B8))*D8</f>
        <v>9.1435537945748265E-3</v>
      </c>
      <c r="G8" s="258">
        <f>F8*E8</f>
        <v>1.4629686071319723E-3</v>
      </c>
      <c r="H8" s="126">
        <f t="shared" si="1"/>
        <v>1.4629686071319723</v>
      </c>
      <c r="L8" s="183"/>
    </row>
    <row r="9" spans="1:12" ht="12.9" customHeight="1" x14ac:dyDescent="0.25">
      <c r="A9" s="104">
        <v>3</v>
      </c>
      <c r="B9" s="104">
        <v>1.3</v>
      </c>
      <c r="C9" s="104">
        <v>0.25</v>
      </c>
      <c r="D9" s="126">
        <f t="shared" si="0"/>
        <v>7.6196281621456863E-2</v>
      </c>
      <c r="E9" s="104">
        <v>0.4</v>
      </c>
      <c r="F9" s="213">
        <f>(0.5*(B9-B8)+0.5*(B10-B9))*D9</f>
        <v>7.6196281621456847E-3</v>
      </c>
      <c r="G9" s="258">
        <f t="shared" ref="G9:G12" si="3">F9*E9</f>
        <v>3.0478512648582741E-3</v>
      </c>
      <c r="H9" s="126">
        <f t="shared" si="1"/>
        <v>3.0478512648582741</v>
      </c>
      <c r="L9" s="183"/>
    </row>
    <row r="10" spans="1:12" ht="12.9" customHeight="1" x14ac:dyDescent="0.25">
      <c r="A10" s="104">
        <v>4</v>
      </c>
      <c r="B10" s="104">
        <v>1.4</v>
      </c>
      <c r="C10" s="104">
        <v>0.3</v>
      </c>
      <c r="D10" s="126">
        <f t="shared" si="0"/>
        <v>9.1435537945748241E-2</v>
      </c>
      <c r="E10" s="104">
        <v>0.48</v>
      </c>
      <c r="F10" s="213">
        <f t="shared" si="2"/>
        <v>9.1435537945748213E-3</v>
      </c>
      <c r="G10" s="258">
        <f>F10*E10</f>
        <v>4.3889058213959142E-3</v>
      </c>
      <c r="H10" s="126">
        <f t="shared" si="1"/>
        <v>4.3889058213959142</v>
      </c>
      <c r="L10" s="183"/>
    </row>
    <row r="11" spans="1:12" ht="12.9" customHeight="1" x14ac:dyDescent="0.25">
      <c r="A11" s="104">
        <v>5</v>
      </c>
      <c r="B11" s="104">
        <v>1.5</v>
      </c>
      <c r="C11" s="104">
        <v>0.25</v>
      </c>
      <c r="D11" s="126">
        <f t="shared" si="0"/>
        <v>7.6196281621456863E-2</v>
      </c>
      <c r="E11" s="104">
        <v>0.33</v>
      </c>
      <c r="F11" s="213">
        <f t="shared" si="2"/>
        <v>7.6196281621456934E-3</v>
      </c>
      <c r="G11" s="258">
        <f t="shared" si="3"/>
        <v>2.5144772935080787E-3</v>
      </c>
      <c r="H11" s="126">
        <f t="shared" si="1"/>
        <v>2.5144772935080786</v>
      </c>
      <c r="L11" s="183"/>
    </row>
    <row r="12" spans="1:12" ht="12.9" customHeight="1" x14ac:dyDescent="0.25">
      <c r="A12" s="104">
        <v>6</v>
      </c>
      <c r="B12" s="104">
        <v>1.6</v>
      </c>
      <c r="C12" s="104">
        <v>0.2</v>
      </c>
      <c r="D12" s="126">
        <f t="shared" si="0"/>
        <v>6.0957025297165499E-2</v>
      </c>
      <c r="E12" s="104">
        <v>0.15</v>
      </c>
      <c r="F12" s="213">
        <f t="shared" si="2"/>
        <v>7.6196281621456873E-3</v>
      </c>
      <c r="G12" s="258">
        <f t="shared" si="3"/>
        <v>1.1429442243218531E-3</v>
      </c>
      <c r="H12" s="126">
        <f t="shared" si="1"/>
        <v>1.1429442243218531</v>
      </c>
      <c r="L12" s="183"/>
    </row>
    <row r="13" spans="1:12" ht="12.9" customHeight="1" x14ac:dyDescent="0.25">
      <c r="A13" s="104">
        <v>7</v>
      </c>
      <c r="B13" s="104">
        <v>1.75</v>
      </c>
      <c r="C13" s="104">
        <v>0</v>
      </c>
      <c r="D13" s="126">
        <f t="shared" si="0"/>
        <v>0</v>
      </c>
      <c r="E13" s="104">
        <v>0</v>
      </c>
      <c r="F13" s="45">
        <f>AVERAGE(D12:D13)*0.5*(B13-B12)</f>
        <v>2.2858884486437049E-3</v>
      </c>
      <c r="G13" s="213">
        <f>F13*0.5*E12</f>
        <v>1.7144163364827785E-4</v>
      </c>
      <c r="H13" s="126">
        <f t="shared" si="1"/>
        <v>0.17144163364827786</v>
      </c>
      <c r="I13" s="217" t="s">
        <v>225</v>
      </c>
      <c r="L13" s="183"/>
    </row>
    <row r="14" spans="1:12" x14ac:dyDescent="0.25">
      <c r="A14" s="194"/>
      <c r="B14" s="194"/>
      <c r="C14" s="194"/>
      <c r="D14" s="190"/>
      <c r="E14" s="89" t="s">
        <v>247</v>
      </c>
      <c r="F14" s="219">
        <f>SUM(F6:F13)</f>
        <v>6.0957025297165499E-2</v>
      </c>
      <c r="G14" s="219">
        <f t="shared" ref="G14:H14" si="4">SUM(G6:G13)</f>
        <v>1.3822005486132275E-2</v>
      </c>
      <c r="H14" s="223">
        <f t="shared" si="4"/>
        <v>13.822005486132278</v>
      </c>
      <c r="I14" s="206"/>
      <c r="L14" s="183"/>
    </row>
    <row r="15" spans="1:12" s="137" customFormat="1" ht="14.1" customHeight="1" x14ac:dyDescent="0.3">
      <c r="A15" s="265" t="s">
        <v>530</v>
      </c>
      <c r="B15" s="116"/>
      <c r="C15" s="117"/>
      <c r="D15" s="117"/>
      <c r="E15" s="117"/>
      <c r="F15" s="117"/>
      <c r="G15" s="117"/>
      <c r="H15" s="117"/>
      <c r="I15" s="264"/>
      <c r="L15" s="263"/>
    </row>
    <row r="16" spans="1:12" ht="13.8" hidden="1" x14ac:dyDescent="0.25">
      <c r="A16" s="197" t="s">
        <v>220</v>
      </c>
      <c r="B16" s="197" t="s">
        <v>221</v>
      </c>
      <c r="C16" s="197" t="s">
        <v>222</v>
      </c>
      <c r="D16" s="197" t="s">
        <v>223</v>
      </c>
      <c r="E16" s="197" t="s">
        <v>224</v>
      </c>
      <c r="F16" s="197" t="s">
        <v>573</v>
      </c>
      <c r="G16" s="197" t="s">
        <v>574</v>
      </c>
      <c r="H16" s="197" t="s">
        <v>246</v>
      </c>
      <c r="I16" s="218" t="s">
        <v>124</v>
      </c>
      <c r="L16" s="183"/>
    </row>
    <row r="17" spans="1:16" ht="12.9" customHeight="1" x14ac:dyDescent="0.25">
      <c r="A17" s="104">
        <v>0</v>
      </c>
      <c r="B17" s="104">
        <v>1</v>
      </c>
      <c r="C17" s="104">
        <v>0</v>
      </c>
      <c r="D17" s="104">
        <f>C17/3.281</f>
        <v>0</v>
      </c>
      <c r="E17" s="104">
        <v>0</v>
      </c>
      <c r="F17" s="213">
        <f>AVERAGE(D17:D18)*0.5*(B18-B17)</f>
        <v>1.6763181956720526E-3</v>
      </c>
      <c r="G17" s="213">
        <f>F17*0.5*E18</f>
        <v>5.0289545870161571E-5</v>
      </c>
      <c r="H17" s="126">
        <f>G17*1000</f>
        <v>5.0289545870161573E-2</v>
      </c>
      <c r="I17" s="217" t="s">
        <v>225</v>
      </c>
      <c r="L17" s="183"/>
    </row>
    <row r="18" spans="1:16" ht="12.9" customHeight="1" x14ac:dyDescent="0.25">
      <c r="A18" s="104">
        <v>1</v>
      </c>
      <c r="B18" s="104">
        <v>1.1000000000000001</v>
      </c>
      <c r="C18" s="104">
        <v>0.22</v>
      </c>
      <c r="D18" s="126">
        <f t="shared" ref="D18:D23" si="5">C18/3.281</f>
        <v>6.7052727826882041E-2</v>
      </c>
      <c r="E18" s="104">
        <v>0.06</v>
      </c>
      <c r="F18" s="213">
        <f>(0.5*(B18-B17)+0.5*(B19-B18))*D18</f>
        <v>6.7052727826882024E-3</v>
      </c>
      <c r="G18" s="213">
        <f>F18*E18</f>
        <v>4.0231636696129214E-4</v>
      </c>
      <c r="H18" s="126">
        <f t="shared" ref="H18:H23" si="6">G18*1000</f>
        <v>0.40231636696129214</v>
      </c>
      <c r="L18" s="183"/>
    </row>
    <row r="19" spans="1:16" ht="12.9" customHeight="1" x14ac:dyDescent="0.25">
      <c r="A19" s="104">
        <v>2</v>
      </c>
      <c r="B19" s="104">
        <v>1.2</v>
      </c>
      <c r="C19" s="104">
        <v>0.28000000000000003</v>
      </c>
      <c r="D19" s="126">
        <f t="shared" si="5"/>
        <v>8.5339835416031698E-2</v>
      </c>
      <c r="E19" s="104">
        <v>0.05</v>
      </c>
      <c r="F19" s="213">
        <f t="shared" ref="F19:F22" si="7">(0.5*(B19-B18)+0.5*(B20-B19))*D19</f>
        <v>8.5339835416031688E-3</v>
      </c>
      <c r="G19" s="213">
        <f>F19*E19</f>
        <v>4.2669917708015848E-4</v>
      </c>
      <c r="H19" s="126">
        <f t="shared" si="6"/>
        <v>0.42669917708015848</v>
      </c>
      <c r="L19" s="183"/>
    </row>
    <row r="20" spans="1:16" ht="12.9" customHeight="1" x14ac:dyDescent="0.25">
      <c r="A20" s="104">
        <v>3</v>
      </c>
      <c r="B20" s="104">
        <v>1.3</v>
      </c>
      <c r="C20" s="104">
        <v>0.3</v>
      </c>
      <c r="D20" s="126">
        <f t="shared" si="5"/>
        <v>9.1435537945748241E-2</v>
      </c>
      <c r="E20" s="104">
        <v>0.03</v>
      </c>
      <c r="F20" s="213">
        <f t="shared" si="7"/>
        <v>9.1435537945748213E-3</v>
      </c>
      <c r="G20" s="213">
        <f>F20*E20</f>
        <v>2.7430661383724464E-4</v>
      </c>
      <c r="H20" s="126">
        <f t="shared" si="6"/>
        <v>0.27430661383724464</v>
      </c>
      <c r="L20" s="183"/>
    </row>
    <row r="21" spans="1:16" ht="12.9" customHeight="1" x14ac:dyDescent="0.25">
      <c r="A21" s="104">
        <v>4</v>
      </c>
      <c r="B21" s="104">
        <v>1.4</v>
      </c>
      <c r="C21" s="104">
        <v>0.3</v>
      </c>
      <c r="D21" s="126">
        <f t="shared" si="5"/>
        <v>9.1435537945748241E-2</v>
      </c>
      <c r="E21" s="104">
        <v>0</v>
      </c>
      <c r="F21" s="213">
        <f>(0.5*(B21-B20)+0.5*(B22-B21))*D21</f>
        <v>9.1435537945748213E-3</v>
      </c>
      <c r="G21" s="213">
        <f>F21*E21</f>
        <v>0</v>
      </c>
      <c r="H21" s="126">
        <f t="shared" si="6"/>
        <v>0</v>
      </c>
      <c r="L21" s="183"/>
    </row>
    <row r="22" spans="1:16" ht="12.9" customHeight="1" x14ac:dyDescent="0.25">
      <c r="A22" s="104">
        <v>5</v>
      </c>
      <c r="B22" s="104">
        <v>1.5</v>
      </c>
      <c r="C22" s="104">
        <v>0.3</v>
      </c>
      <c r="D22" s="126">
        <f t="shared" si="5"/>
        <v>9.1435537945748241E-2</v>
      </c>
      <c r="E22" s="104">
        <v>-0.01</v>
      </c>
      <c r="F22" s="213">
        <f t="shared" si="7"/>
        <v>9.1435537945748317E-3</v>
      </c>
      <c r="G22" s="213">
        <f>F22*E22</f>
        <v>-9.1435537945748325E-5</v>
      </c>
      <c r="H22" s="126">
        <f t="shared" si="6"/>
        <v>-9.1435537945748324E-2</v>
      </c>
      <c r="K22" s="191"/>
    </row>
    <row r="23" spans="1:16" ht="12.9" customHeight="1" x14ac:dyDescent="0.25">
      <c r="A23" s="104">
        <v>6</v>
      </c>
      <c r="B23" s="104">
        <v>1.6</v>
      </c>
      <c r="C23" s="104">
        <v>0</v>
      </c>
      <c r="D23" s="104">
        <f t="shared" si="5"/>
        <v>0</v>
      </c>
      <c r="E23" s="104">
        <v>0</v>
      </c>
      <c r="F23" s="45">
        <f>AVERAGE(D22:D23)*0.5*(B23-B22)</f>
        <v>2.2858884486437079E-3</v>
      </c>
      <c r="G23" s="213">
        <f>F23*0.5*E22</f>
        <v>-1.1429442243218541E-5</v>
      </c>
      <c r="H23" s="126">
        <f t="shared" si="6"/>
        <v>-1.1429442243218541E-2</v>
      </c>
      <c r="I23" s="217" t="s">
        <v>225</v>
      </c>
      <c r="K23" s="191"/>
    </row>
    <row r="24" spans="1:16" ht="12.9" customHeight="1" x14ac:dyDescent="0.25">
      <c r="A24" s="194"/>
      <c r="B24" s="194"/>
      <c r="C24" s="194"/>
      <c r="D24" s="194"/>
      <c r="E24" s="89" t="s">
        <v>247</v>
      </c>
      <c r="F24" s="222">
        <f t="shared" ref="F24:G24" si="8">SUM(F17:F23)</f>
        <v>4.6632124352331605E-2</v>
      </c>
      <c r="G24" s="222">
        <f t="shared" si="8"/>
        <v>1.0507467235598901E-3</v>
      </c>
      <c r="H24" s="223">
        <f>SUM(H17:H23)</f>
        <v>1.0507467235598897</v>
      </c>
      <c r="I24" s="206"/>
    </row>
    <row r="25" spans="1:16" s="137" customFormat="1" ht="14.1" customHeight="1" x14ac:dyDescent="0.3">
      <c r="A25" s="265" t="s">
        <v>531</v>
      </c>
      <c r="B25" s="117"/>
      <c r="C25" s="117"/>
      <c r="D25" s="117"/>
      <c r="E25" s="117"/>
      <c r="F25" s="117"/>
      <c r="G25" s="117"/>
      <c r="H25" s="117"/>
      <c r="I25" s="264"/>
      <c r="L25" s="263"/>
    </row>
    <row r="26" spans="1:16" ht="13.8" hidden="1" x14ac:dyDescent="0.25">
      <c r="A26" s="197" t="s">
        <v>220</v>
      </c>
      <c r="B26" s="197" t="s">
        <v>221</v>
      </c>
      <c r="C26" s="197" t="s">
        <v>222</v>
      </c>
      <c r="D26" s="197" t="s">
        <v>223</v>
      </c>
      <c r="E26" s="197" t="s">
        <v>224</v>
      </c>
      <c r="F26" s="197" t="s">
        <v>573</v>
      </c>
      <c r="G26" s="197" t="s">
        <v>574</v>
      </c>
      <c r="H26" s="197" t="s">
        <v>246</v>
      </c>
      <c r="I26" s="218" t="s">
        <v>124</v>
      </c>
      <c r="L26" s="183"/>
    </row>
    <row r="27" spans="1:16" ht="12.9" customHeight="1" x14ac:dyDescent="0.25">
      <c r="A27" s="104">
        <v>0</v>
      </c>
      <c r="B27" s="104">
        <v>0.75</v>
      </c>
      <c r="C27" s="104">
        <v>0</v>
      </c>
      <c r="D27" s="126">
        <f>C27/3.281</f>
        <v>0</v>
      </c>
      <c r="E27" s="104">
        <v>0</v>
      </c>
      <c r="F27" s="213">
        <f>AVERAGE(D27:D28)*0.5*(B28-B27)</f>
        <v>1.523925632429137E-3</v>
      </c>
      <c r="G27" s="213">
        <f>F27*0.5*E28</f>
        <v>1.5239256324291371E-5</v>
      </c>
      <c r="H27" s="126">
        <f>G27*1000</f>
        <v>1.5239256324291371E-2</v>
      </c>
      <c r="I27" s="217" t="s">
        <v>225</v>
      </c>
      <c r="L27" s="183"/>
    </row>
    <row r="28" spans="1:16" ht="12.9" customHeight="1" x14ac:dyDescent="0.25">
      <c r="A28" s="104">
        <v>1</v>
      </c>
      <c r="B28" s="104">
        <v>0.85</v>
      </c>
      <c r="C28" s="104">
        <v>0.2</v>
      </c>
      <c r="D28" s="126">
        <f t="shared" ref="D28:D35" si="9">C28/3.281</f>
        <v>6.0957025297165499E-2</v>
      </c>
      <c r="E28" s="104">
        <v>0.02</v>
      </c>
      <c r="F28" s="213">
        <f>(0.5*(B28-B27)+0.5*(B29-B28))*D28</f>
        <v>6.0957025297165481E-3</v>
      </c>
      <c r="G28" s="213">
        <f>F28*E28</f>
        <v>1.2191405059433097E-4</v>
      </c>
      <c r="H28" s="126">
        <f t="shared" ref="H28:H35" si="10">G28*1000</f>
        <v>0.12191405059433097</v>
      </c>
      <c r="L28" s="183"/>
    </row>
    <row r="29" spans="1:16" ht="12.9" customHeight="1" x14ac:dyDescent="0.25">
      <c r="A29" s="104">
        <v>2</v>
      </c>
      <c r="B29" s="104">
        <v>0.95</v>
      </c>
      <c r="C29" s="104">
        <v>0.23</v>
      </c>
      <c r="D29" s="126">
        <f t="shared" si="9"/>
        <v>7.010057909174032E-2</v>
      </c>
      <c r="E29" s="104">
        <v>0.75</v>
      </c>
      <c r="F29" s="213">
        <f t="shared" ref="F29:F34" si="11">(0.5*(B29-B28)+0.5*(B30-B29))*D29</f>
        <v>7.0100579091740339E-3</v>
      </c>
      <c r="G29" s="213">
        <f>F29*E29</f>
        <v>5.2575434318805252E-3</v>
      </c>
      <c r="H29" s="126">
        <f t="shared" si="10"/>
        <v>5.2575434318805252</v>
      </c>
      <c r="L29" s="183"/>
    </row>
    <row r="30" spans="1:16" ht="12.9" customHeight="1" x14ac:dyDescent="0.25">
      <c r="A30" s="104">
        <v>3</v>
      </c>
      <c r="B30" s="104">
        <v>1.05</v>
      </c>
      <c r="C30" s="104">
        <v>0.25</v>
      </c>
      <c r="D30" s="126">
        <f t="shared" si="9"/>
        <v>7.6196281621456863E-2</v>
      </c>
      <c r="E30" s="104">
        <v>0.23</v>
      </c>
      <c r="F30" s="213">
        <f t="shared" si="11"/>
        <v>7.6196281621456847E-3</v>
      </c>
      <c r="G30" s="213">
        <f t="shared" ref="G30" si="12">F30*E30</f>
        <v>1.7525144772935076E-3</v>
      </c>
      <c r="H30" s="126">
        <f t="shared" si="10"/>
        <v>1.7525144772935075</v>
      </c>
      <c r="L30" s="183"/>
    </row>
    <row r="31" spans="1:16" ht="12.9" customHeight="1" x14ac:dyDescent="0.25">
      <c r="A31" s="104">
        <v>4</v>
      </c>
      <c r="B31" s="104">
        <v>1.1499999999999999</v>
      </c>
      <c r="C31" s="104">
        <v>0.25</v>
      </c>
      <c r="D31" s="126">
        <f t="shared" si="9"/>
        <v>7.6196281621456863E-2</v>
      </c>
      <c r="E31" s="104">
        <v>0.25</v>
      </c>
      <c r="F31" s="213">
        <f t="shared" si="11"/>
        <v>7.6196281621456847E-3</v>
      </c>
      <c r="G31" s="213">
        <f>F31*E31</f>
        <v>1.9049070405364212E-3</v>
      </c>
      <c r="H31" s="126">
        <f t="shared" si="10"/>
        <v>1.9049070405364212</v>
      </c>
      <c r="L31" s="183"/>
    </row>
    <row r="32" spans="1:16" ht="12.9" customHeight="1" x14ac:dyDescent="0.25">
      <c r="A32" s="104">
        <v>5</v>
      </c>
      <c r="B32" s="104">
        <v>1.25</v>
      </c>
      <c r="C32" s="104">
        <v>0.28000000000000003</v>
      </c>
      <c r="D32" s="126">
        <f t="shared" si="9"/>
        <v>8.5339835416031698E-2</v>
      </c>
      <c r="E32" s="104">
        <v>0.22</v>
      </c>
      <c r="F32" s="213">
        <f t="shared" si="11"/>
        <v>8.5339835416031774E-3</v>
      </c>
      <c r="G32" s="213">
        <f t="shared" ref="G32:G34" si="13">F32*E32</f>
        <v>1.8774763791526991E-3</v>
      </c>
      <c r="H32" s="126">
        <f t="shared" si="10"/>
        <v>1.8774763791526992</v>
      </c>
      <c r="L32" s="183"/>
      <c r="P32" s="191"/>
    </row>
    <row r="33" spans="1:17" ht="12.9" customHeight="1" x14ac:dyDescent="0.25">
      <c r="A33" s="104">
        <v>6</v>
      </c>
      <c r="B33" s="104">
        <v>1.35</v>
      </c>
      <c r="C33" s="104">
        <v>0.25</v>
      </c>
      <c r="D33" s="126">
        <f t="shared" si="9"/>
        <v>7.6196281621456863E-2</v>
      </c>
      <c r="E33" s="104">
        <v>0.1</v>
      </c>
      <c r="F33" s="213">
        <f t="shared" si="11"/>
        <v>7.6196281621456847E-3</v>
      </c>
      <c r="G33" s="213">
        <f t="shared" si="13"/>
        <v>7.6196281621456852E-4</v>
      </c>
      <c r="H33" s="126">
        <f t="shared" si="10"/>
        <v>0.76196281621456852</v>
      </c>
      <c r="L33" s="183"/>
      <c r="P33" s="191"/>
    </row>
    <row r="34" spans="1:17" ht="12.9" customHeight="1" x14ac:dyDescent="0.25">
      <c r="A34" s="104">
        <v>7</v>
      </c>
      <c r="B34" s="104">
        <v>1.45</v>
      </c>
      <c r="C34" s="104">
        <v>0.23</v>
      </c>
      <c r="D34" s="126">
        <f t="shared" si="9"/>
        <v>7.010057909174032E-2</v>
      </c>
      <c r="E34" s="104">
        <v>0.18</v>
      </c>
      <c r="F34" s="213">
        <f t="shared" si="11"/>
        <v>8.76257238646754E-3</v>
      </c>
      <c r="G34" s="213">
        <f t="shared" si="13"/>
        <v>1.5772630295641571E-3</v>
      </c>
      <c r="H34" s="126">
        <f t="shared" si="10"/>
        <v>1.577263029564157</v>
      </c>
      <c r="L34" s="183"/>
      <c r="Q34" s="192"/>
    </row>
    <row r="35" spans="1:17" ht="12.9" customHeight="1" x14ac:dyDescent="0.25">
      <c r="A35" s="104">
        <v>8</v>
      </c>
      <c r="B35" s="104">
        <v>1.6</v>
      </c>
      <c r="C35" s="104">
        <v>0</v>
      </c>
      <c r="D35" s="126">
        <f t="shared" si="9"/>
        <v>0</v>
      </c>
      <c r="E35" s="104">
        <v>0</v>
      </c>
      <c r="F35" s="45">
        <f>AVERAGE(D34:D35)*0.5*(B35-B34)</f>
        <v>2.6287717159402643E-3</v>
      </c>
      <c r="G35" s="213">
        <f>F35*0.5*E34</f>
        <v>2.3658945443462377E-4</v>
      </c>
      <c r="H35" s="126">
        <f t="shared" si="10"/>
        <v>0.23658945443462376</v>
      </c>
      <c r="I35" s="217" t="s">
        <v>225</v>
      </c>
      <c r="L35" s="183"/>
      <c r="Q35" s="192"/>
    </row>
    <row r="36" spans="1:17" x14ac:dyDescent="0.25">
      <c r="A36" s="194"/>
      <c r="B36" s="194"/>
      <c r="C36" s="194"/>
      <c r="D36" s="194"/>
      <c r="E36" s="89" t="s">
        <v>247</v>
      </c>
      <c r="F36" s="222">
        <f t="shared" ref="F36:G36" si="14">SUM(F27:F35)</f>
        <v>5.741389820176776E-2</v>
      </c>
      <c r="G36" s="222">
        <f t="shared" si="14"/>
        <v>1.3505409935995125E-2</v>
      </c>
      <c r="H36" s="223">
        <f>SUM(H27:H35)</f>
        <v>13.505409935995125</v>
      </c>
      <c r="I36" s="206"/>
      <c r="L36" s="183"/>
      <c r="Q36" s="192"/>
    </row>
    <row r="37" spans="1:17" ht="5.25" customHeight="1" x14ac:dyDescent="0.25">
      <c r="A37" s="104"/>
      <c r="B37" s="104"/>
      <c r="C37" s="104"/>
      <c r="D37" s="104"/>
      <c r="E37" s="197"/>
      <c r="F37" s="45"/>
      <c r="G37" s="45"/>
      <c r="H37" s="33"/>
      <c r="L37" s="183"/>
      <c r="Q37" s="192"/>
    </row>
    <row r="38" spans="1:17" x14ac:dyDescent="0.25">
      <c r="A38" s="61" t="s">
        <v>550</v>
      </c>
      <c r="L38" s="183"/>
    </row>
    <row r="39" spans="1:17" ht="25.8" x14ac:dyDescent="0.25">
      <c r="A39" s="200" t="s">
        <v>245</v>
      </c>
      <c r="B39" s="200" t="s">
        <v>594</v>
      </c>
      <c r="C39" s="200" t="s">
        <v>575</v>
      </c>
      <c r="D39" s="200" t="s">
        <v>595</v>
      </c>
      <c r="E39" s="200" t="s">
        <v>589</v>
      </c>
      <c r="F39" s="200" t="s">
        <v>579</v>
      </c>
      <c r="G39" s="200" t="s">
        <v>580</v>
      </c>
      <c r="H39" s="200" t="s">
        <v>593</v>
      </c>
      <c r="I39" s="218"/>
      <c r="L39" s="183"/>
    </row>
    <row r="40" spans="1:17" ht="12.9" customHeight="1" x14ac:dyDescent="0.25">
      <c r="A40" s="104">
        <v>1</v>
      </c>
      <c r="B40" s="104">
        <v>0.2</v>
      </c>
      <c r="C40" s="104">
        <v>0.02</v>
      </c>
      <c r="D40" s="104">
        <v>2</v>
      </c>
      <c r="E40" s="104">
        <v>6.22</v>
      </c>
      <c r="F40" s="126">
        <f>D40/E40</f>
        <v>0.32154340836012862</v>
      </c>
      <c r="G40" s="258">
        <f>B40*C40*F40</f>
        <v>1.2861736334405145E-3</v>
      </c>
      <c r="H40" s="126">
        <f>G40*1000</f>
        <v>1.2861736334405145</v>
      </c>
      <c r="L40" s="183"/>
    </row>
    <row r="41" spans="1:17" ht="12.9" customHeight="1" x14ac:dyDescent="0.25">
      <c r="A41" s="104">
        <v>2</v>
      </c>
      <c r="B41" s="104">
        <v>0.2</v>
      </c>
      <c r="C41" s="104">
        <v>0.02</v>
      </c>
      <c r="D41" s="104">
        <v>2</v>
      </c>
      <c r="E41" s="104">
        <v>7.37</v>
      </c>
      <c r="F41" s="126">
        <f t="shared" ref="F41:F43" si="15">D41/E41</f>
        <v>0.27137042062415195</v>
      </c>
      <c r="G41" s="258">
        <f t="shared" ref="G41:G43" si="16">B41*C41*F41</f>
        <v>1.0854816824966077E-3</v>
      </c>
      <c r="H41" s="126">
        <f t="shared" ref="H41:H43" si="17">G41*1000</f>
        <v>1.0854816824966078</v>
      </c>
      <c r="L41" s="183"/>
    </row>
    <row r="42" spans="1:17" ht="12.9" customHeight="1" x14ac:dyDescent="0.25">
      <c r="A42" s="104">
        <v>3</v>
      </c>
      <c r="B42" s="104">
        <v>0.2</v>
      </c>
      <c r="C42" s="104">
        <v>0.02</v>
      </c>
      <c r="D42" s="104">
        <v>2</v>
      </c>
      <c r="E42" s="104">
        <v>6.81</v>
      </c>
      <c r="F42" s="126">
        <f t="shared" si="15"/>
        <v>0.29368575624082233</v>
      </c>
      <c r="G42" s="258">
        <f t="shared" si="16"/>
        <v>1.1747430249632893E-3</v>
      </c>
      <c r="H42" s="126">
        <f t="shared" si="17"/>
        <v>1.1747430249632893</v>
      </c>
      <c r="L42" s="183"/>
    </row>
    <row r="43" spans="1:17" ht="12.9" customHeight="1" x14ac:dyDescent="0.25">
      <c r="A43" s="111">
        <v>4</v>
      </c>
      <c r="B43" s="111">
        <v>0.2</v>
      </c>
      <c r="C43" s="111">
        <v>0.02</v>
      </c>
      <c r="D43" s="111">
        <v>2</v>
      </c>
      <c r="E43" s="111">
        <v>6.37</v>
      </c>
      <c r="F43" s="125">
        <f t="shared" si="15"/>
        <v>0.31397174254317112</v>
      </c>
      <c r="G43" s="266">
        <f t="shared" si="16"/>
        <v>1.2558869701726845E-3</v>
      </c>
      <c r="H43" s="125">
        <f t="shared" si="17"/>
        <v>1.2558869701726845</v>
      </c>
      <c r="L43" s="183"/>
    </row>
    <row r="44" spans="1:17" ht="12.9" customHeight="1" x14ac:dyDescent="0.25">
      <c r="A44" s="186"/>
      <c r="B44" s="111"/>
      <c r="C44" s="111"/>
      <c r="D44" s="198" t="s">
        <v>248</v>
      </c>
      <c r="E44" s="267">
        <f>AVERAGE(E40:E43)</f>
        <v>6.6924999999999999</v>
      </c>
      <c r="F44" s="267">
        <f t="shared" ref="F44:H44" si="18">AVERAGE(F40:F43)</f>
        <v>0.30014283194206853</v>
      </c>
      <c r="G44" s="199">
        <f t="shared" si="18"/>
        <v>1.200571327768274E-3</v>
      </c>
      <c r="H44" s="267">
        <f t="shared" si="18"/>
        <v>1.2005713277682741</v>
      </c>
      <c r="L44" s="183"/>
    </row>
    <row r="45" spans="1:17" ht="14.25" customHeight="1" x14ac:dyDescent="0.25">
      <c r="A45" s="217"/>
      <c r="B45" s="104"/>
      <c r="C45" s="104"/>
      <c r="D45" s="104"/>
      <c r="E45" s="244"/>
      <c r="F45" s="213"/>
      <c r="G45" s="126"/>
      <c r="H45" s="126"/>
    </row>
    <row r="46" spans="1:17" x14ac:dyDescent="0.25">
      <c r="A46" s="61" t="s">
        <v>532</v>
      </c>
      <c r="F46" s="61" t="s">
        <v>533</v>
      </c>
    </row>
    <row r="47" spans="1:17" s="137" customFormat="1" ht="25.5" customHeight="1" x14ac:dyDescent="0.3">
      <c r="A47" s="200" t="s">
        <v>245</v>
      </c>
      <c r="B47" s="200" t="s">
        <v>589</v>
      </c>
      <c r="C47" s="200" t="s">
        <v>596</v>
      </c>
      <c r="D47" s="200" t="s">
        <v>593</v>
      </c>
      <c r="E47" s="117"/>
      <c r="F47" s="200" t="s">
        <v>245</v>
      </c>
      <c r="G47" s="200" t="s">
        <v>589</v>
      </c>
      <c r="H47" s="200" t="s">
        <v>596</v>
      </c>
      <c r="I47" s="200" t="s">
        <v>593</v>
      </c>
      <c r="L47" s="137" t="s">
        <v>227</v>
      </c>
    </row>
    <row r="48" spans="1:17" ht="12.9" customHeight="1" x14ac:dyDescent="0.25">
      <c r="A48" s="104">
        <v>1</v>
      </c>
      <c r="B48" s="104">
        <v>1.37</v>
      </c>
      <c r="C48" s="104">
        <v>8</v>
      </c>
      <c r="D48" s="128">
        <f>C48/B48</f>
        <v>5.8394160583941606</v>
      </c>
      <c r="F48" s="104">
        <v>1</v>
      </c>
      <c r="G48" s="104">
        <v>6.7</v>
      </c>
      <c r="H48" s="104">
        <v>3</v>
      </c>
      <c r="I48" s="126">
        <f>H48/G48</f>
        <v>0.44776119402985076</v>
      </c>
      <c r="L48" s="123">
        <f>D48*60/3.78541</f>
        <v>92.556675103528974</v>
      </c>
    </row>
    <row r="49" spans="1:12" ht="12.9" customHeight="1" x14ac:dyDescent="0.25">
      <c r="A49" s="104">
        <v>2</v>
      </c>
      <c r="B49" s="104">
        <v>1.47</v>
      </c>
      <c r="C49" s="104">
        <v>9</v>
      </c>
      <c r="D49" s="128">
        <f t="shared" ref="D49:D51" si="19">C49/B49</f>
        <v>6.1224489795918364</v>
      </c>
      <c r="E49" s="104"/>
      <c r="F49" s="104">
        <v>2</v>
      </c>
      <c r="G49" s="104">
        <v>3.88</v>
      </c>
      <c r="H49" s="104">
        <v>2</v>
      </c>
      <c r="I49" s="126">
        <f t="shared" ref="I49:I50" si="20">H49/G49</f>
        <v>0.51546391752577325</v>
      </c>
      <c r="L49" s="183"/>
    </row>
    <row r="50" spans="1:12" ht="12.9" customHeight="1" x14ac:dyDescent="0.25">
      <c r="A50" s="104">
        <v>3</v>
      </c>
      <c r="B50" s="104">
        <v>1.81</v>
      </c>
      <c r="C50" s="104">
        <v>10</v>
      </c>
      <c r="D50" s="128">
        <f t="shared" si="19"/>
        <v>5.5248618784530388</v>
      </c>
      <c r="E50" s="104"/>
      <c r="F50" s="104">
        <v>3</v>
      </c>
      <c r="G50" s="104">
        <v>4.37</v>
      </c>
      <c r="H50" s="104">
        <v>2.8</v>
      </c>
      <c r="I50" s="126">
        <f t="shared" si="20"/>
        <v>0.64073226544622419</v>
      </c>
      <c r="L50" s="183"/>
    </row>
    <row r="51" spans="1:12" ht="12.9" customHeight="1" x14ac:dyDescent="0.25">
      <c r="A51" s="104">
        <v>4</v>
      </c>
      <c r="B51" s="104">
        <v>1.28</v>
      </c>
      <c r="C51" s="104">
        <v>9</v>
      </c>
      <c r="D51" s="128">
        <f t="shared" si="19"/>
        <v>7.03125</v>
      </c>
      <c r="E51" s="104"/>
      <c r="F51" s="104">
        <v>4</v>
      </c>
      <c r="G51" s="104">
        <v>4.4400000000000004</v>
      </c>
      <c r="H51" s="104">
        <v>2.5</v>
      </c>
      <c r="I51" s="126">
        <f>H51/G51</f>
        <v>0.56306306306306297</v>
      </c>
      <c r="L51" s="183"/>
    </row>
    <row r="52" spans="1:12" ht="12.9" customHeight="1" x14ac:dyDescent="0.25">
      <c r="A52" s="89" t="s">
        <v>248</v>
      </c>
      <c r="B52" s="82">
        <f>AVERAGE(B48:B51)</f>
        <v>1.4825000000000002</v>
      </c>
      <c r="C52" s="268">
        <f t="shared" ref="C52:D52" si="21">AVERAGE(C48:C51)</f>
        <v>9</v>
      </c>
      <c r="D52" s="269">
        <f t="shared" si="21"/>
        <v>6.1294942291097589</v>
      </c>
      <c r="E52" s="104"/>
      <c r="F52" s="104">
        <v>5</v>
      </c>
      <c r="G52" s="104">
        <v>4.7</v>
      </c>
      <c r="H52" s="104">
        <v>2.6</v>
      </c>
      <c r="I52" s="126">
        <f t="shared" ref="I52" si="22">H52/G52</f>
        <v>0.55319148936170215</v>
      </c>
      <c r="L52" s="183"/>
    </row>
    <row r="53" spans="1:12" x14ac:dyDescent="0.25">
      <c r="A53" s="104"/>
      <c r="B53" s="104"/>
      <c r="C53" s="104"/>
      <c r="D53" s="126"/>
      <c r="E53" s="104"/>
      <c r="F53" s="89" t="s">
        <v>248</v>
      </c>
      <c r="G53" s="82">
        <f>AVERAGE(G48:G52)</f>
        <v>4.8179999999999996</v>
      </c>
      <c r="H53" s="82">
        <f t="shared" ref="H53:I53" si="23">AVERAGE(H48:H52)</f>
        <v>2.58</v>
      </c>
      <c r="I53" s="82">
        <f t="shared" si="23"/>
        <v>0.54404238588532272</v>
      </c>
      <c r="L53" s="183"/>
    </row>
    <row r="54" spans="1:12" ht="14.25" customHeight="1" x14ac:dyDescent="0.25">
      <c r="A54" s="104"/>
      <c r="B54" s="104"/>
      <c r="C54" s="104"/>
      <c r="D54" s="126"/>
      <c r="E54" s="104"/>
      <c r="F54" s="213"/>
      <c r="G54" s="45"/>
      <c r="H54" s="45"/>
      <c r="I54" s="6"/>
      <c r="L54" s="183"/>
    </row>
    <row r="55" spans="1:12" x14ac:dyDescent="0.25">
      <c r="A55" s="61" t="s">
        <v>279</v>
      </c>
      <c r="B55" s="104"/>
      <c r="C55" s="104"/>
      <c r="D55" s="126"/>
      <c r="E55" s="104"/>
      <c r="F55" s="213"/>
      <c r="G55" s="45"/>
      <c r="H55" s="45"/>
      <c r="I55" s="6"/>
      <c r="L55" s="183"/>
    </row>
    <row r="56" spans="1:12" ht="26.25" customHeight="1" x14ac:dyDescent="0.25">
      <c r="A56" s="89" t="s">
        <v>280</v>
      </c>
      <c r="B56" s="89" t="s">
        <v>597</v>
      </c>
      <c r="C56" s="89" t="s">
        <v>598</v>
      </c>
      <c r="D56" s="89" t="s">
        <v>281</v>
      </c>
      <c r="E56" s="89" t="s">
        <v>282</v>
      </c>
      <c r="F56" s="89" t="s">
        <v>599</v>
      </c>
      <c r="G56" s="89" t="s">
        <v>581</v>
      </c>
      <c r="H56" s="45"/>
      <c r="I56" s="6"/>
      <c r="L56" s="183"/>
    </row>
    <row r="57" spans="1:12" ht="12.9" customHeight="1" x14ac:dyDescent="0.25">
      <c r="A57" s="194">
        <v>29.5</v>
      </c>
      <c r="B57" s="270">
        <v>9</v>
      </c>
      <c r="C57" s="190">
        <v>0.3</v>
      </c>
      <c r="D57" s="194">
        <v>0.58499999999999996</v>
      </c>
      <c r="E57" s="189">
        <v>3.0000000000000001E-3</v>
      </c>
      <c r="F57" s="194">
        <v>0.23300000000000001</v>
      </c>
      <c r="G57" s="270">
        <v>6.62</v>
      </c>
      <c r="H57" s="45"/>
      <c r="I57" s="6"/>
      <c r="L57" s="183"/>
    </row>
    <row r="58" spans="1:12" x14ac:dyDescent="0.25">
      <c r="A58" s="104"/>
      <c r="B58" s="104"/>
      <c r="C58" s="104"/>
      <c r="D58" s="126"/>
      <c r="E58" s="104"/>
      <c r="F58" s="213"/>
      <c r="G58" s="45"/>
      <c r="H58" s="45"/>
      <c r="I58" s="6"/>
      <c r="L58" s="183"/>
    </row>
    <row r="59" spans="1:12" x14ac:dyDescent="0.25">
      <c r="A59" s="98" t="s">
        <v>64</v>
      </c>
      <c r="B59" s="104"/>
      <c r="C59" s="104"/>
      <c r="D59" s="126"/>
      <c r="E59" s="104"/>
      <c r="F59" s="213"/>
      <c r="G59" s="45"/>
      <c r="H59" s="45"/>
      <c r="I59" s="6"/>
      <c r="L59" s="183"/>
    </row>
    <row r="60" spans="1:12" x14ac:dyDescent="0.25">
      <c r="A60" s="98" t="s">
        <v>549</v>
      </c>
      <c r="B60" s="104"/>
      <c r="C60" s="104"/>
      <c r="D60" s="126"/>
      <c r="E60" s="104"/>
      <c r="F60" s="213"/>
      <c r="G60" s="45"/>
      <c r="H60" s="45"/>
      <c r="I60" s="6"/>
      <c r="L60" s="183"/>
    </row>
    <row r="61" spans="1:12" x14ac:dyDescent="0.25">
      <c r="A61" s="98" t="s">
        <v>552</v>
      </c>
    </row>
    <row r="62" spans="1:12" x14ac:dyDescent="0.25">
      <c r="A62" s="98" t="s">
        <v>540</v>
      </c>
      <c r="B62" s="104"/>
      <c r="C62" s="104"/>
      <c r="D62" s="126"/>
      <c r="E62" s="104"/>
      <c r="F62" s="213"/>
      <c r="G62" s="45"/>
      <c r="H62" s="45"/>
      <c r="I62" s="6"/>
      <c r="L62" s="183"/>
    </row>
    <row r="63" spans="1:12" x14ac:dyDescent="0.25">
      <c r="A63" s="98" t="s">
        <v>548</v>
      </c>
      <c r="B63" s="104"/>
      <c r="C63" s="104"/>
      <c r="D63" s="126"/>
      <c r="E63" s="104"/>
      <c r="F63" s="213"/>
      <c r="G63" s="45"/>
      <c r="H63" s="45"/>
      <c r="I63" s="6"/>
      <c r="L63" s="183"/>
    </row>
    <row r="64" spans="1:12" x14ac:dyDescent="0.25">
      <c r="A64" s="98" t="s">
        <v>535</v>
      </c>
      <c r="B64" s="104"/>
      <c r="C64" s="104"/>
      <c r="D64" s="126"/>
      <c r="E64" s="104"/>
      <c r="F64" s="213"/>
      <c r="G64" s="45"/>
      <c r="H64" s="45"/>
      <c r="I64" s="6"/>
      <c r="L64" s="183"/>
    </row>
    <row r="65" spans="1:12" x14ac:dyDescent="0.25">
      <c r="A65" s="98" t="s">
        <v>112</v>
      </c>
      <c r="B65" s="104"/>
      <c r="C65" s="104"/>
      <c r="D65" s="126"/>
      <c r="E65" s="104"/>
      <c r="F65" s="213"/>
      <c r="G65" s="45"/>
      <c r="H65" s="45"/>
      <c r="I65" s="6"/>
      <c r="L65" s="183"/>
    </row>
    <row r="66" spans="1:12" x14ac:dyDescent="0.25">
      <c r="A66" s="98" t="s">
        <v>543</v>
      </c>
      <c r="B66" s="104"/>
      <c r="C66" s="104"/>
      <c r="D66" s="126"/>
      <c r="E66" s="104"/>
      <c r="F66" s="213"/>
      <c r="G66" s="45"/>
      <c r="H66" s="45"/>
      <c r="I66" s="6"/>
      <c r="L66" s="183"/>
    </row>
    <row r="67" spans="1:12" x14ac:dyDescent="0.25">
      <c r="A67" s="98" t="s">
        <v>541</v>
      </c>
      <c r="B67" s="104"/>
      <c r="C67" s="104"/>
      <c r="D67" s="126"/>
      <c r="E67" s="104"/>
      <c r="F67" s="213"/>
      <c r="G67" s="45"/>
      <c r="H67" s="45"/>
      <c r="I67" s="6"/>
      <c r="L67" s="183"/>
    </row>
    <row r="68" spans="1:12" x14ac:dyDescent="0.25">
      <c r="A68" s="98" t="s">
        <v>542</v>
      </c>
      <c r="B68" s="104"/>
      <c r="C68" s="104"/>
      <c r="D68" s="126"/>
      <c r="E68" s="104"/>
      <c r="F68" s="213"/>
      <c r="G68" s="45"/>
      <c r="H68" s="45"/>
      <c r="I68" s="6"/>
      <c r="L68" s="183"/>
    </row>
    <row r="69" spans="1:12" x14ac:dyDescent="0.25">
      <c r="A69" s="217" t="s">
        <v>547</v>
      </c>
      <c r="B69" s="104"/>
      <c r="C69" s="104"/>
      <c r="D69" s="126"/>
      <c r="E69" s="104"/>
      <c r="F69" s="213"/>
      <c r="G69" s="45"/>
      <c r="H69" s="45"/>
      <c r="I69" s="6"/>
      <c r="L69" s="183"/>
    </row>
    <row r="70" spans="1:12" x14ac:dyDescent="0.25">
      <c r="A70" s="104"/>
      <c r="B70" s="104"/>
      <c r="C70" s="104"/>
      <c r="D70" s="104"/>
      <c r="E70" s="30"/>
      <c r="F70" s="213"/>
      <c r="G70" s="45"/>
      <c r="H70" s="45"/>
      <c r="L70" s="183"/>
    </row>
    <row r="71" spans="1:12" ht="19.5" customHeight="1" x14ac:dyDescent="0.25">
      <c r="E71" s="197"/>
      <c r="F71" s="197"/>
      <c r="G71" s="197"/>
      <c r="H71" s="197"/>
      <c r="L71" s="183"/>
    </row>
    <row r="72" spans="1:12" x14ac:dyDescent="0.25">
      <c r="F72" s="214"/>
      <c r="G72" s="214"/>
      <c r="H72" s="215"/>
    </row>
    <row r="73" spans="1:12" x14ac:dyDescent="0.25">
      <c r="F73" s="246"/>
      <c r="G73" s="246"/>
      <c r="H73" s="214"/>
      <c r="I73" s="262"/>
    </row>
    <row r="74" spans="1:12" x14ac:dyDescent="0.25">
      <c r="F74" s="246"/>
      <c r="G74" s="246"/>
      <c r="H74" s="246"/>
      <c r="I74" s="6"/>
    </row>
  </sheetData>
  <pageMargins left="0.7" right="0.7" top="0.75" bottom="0.75" header="0.3" footer="0.3"/>
  <pageSetup orientation="landscape" r:id="rId1"/>
  <headerFooter>
    <oddFooter>&amp;L&amp;8ES102011123831RDD&amp;R&amp;8&amp;P OF &amp;N</oddFooter>
  </headerFooter>
  <rowBreaks count="1" manualBreakCount="1">
    <brk id="36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1"/>
  <sheetViews>
    <sheetView view="pageBreakPreview" zoomScale="115" zoomScaleNormal="100" zoomScaleSheetLayoutView="115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63" sqref="A63"/>
    </sheetView>
  </sheetViews>
  <sheetFormatPr defaultColWidth="9.109375" defaultRowHeight="12" x14ac:dyDescent="0.25"/>
  <cols>
    <col min="1" max="1" width="21.44140625" style="5" customWidth="1"/>
    <col min="2" max="2" width="10.109375" style="4" customWidth="1"/>
    <col min="3" max="5" width="9.109375" style="4"/>
    <col min="6" max="6" width="9.109375" style="5"/>
    <col min="7" max="7" width="8" style="5" customWidth="1"/>
    <col min="8" max="8" width="9.109375" style="5"/>
    <col min="9" max="9" width="8" style="5" customWidth="1"/>
    <col min="10" max="10" width="9.109375" style="5"/>
    <col min="11" max="11" width="8" style="5" customWidth="1"/>
    <col min="12" max="12" width="9.109375" style="5"/>
    <col min="13" max="13" width="8" style="5" customWidth="1"/>
    <col min="14" max="14" width="11.6640625" style="5" customWidth="1"/>
    <col min="15" max="15" width="9.109375" style="5"/>
    <col min="16" max="16" width="8" style="5" customWidth="1"/>
    <col min="17" max="17" width="15" style="5" customWidth="1"/>
    <col min="18" max="18" width="9.109375" style="5"/>
    <col min="19" max="19" width="8" style="5" customWidth="1"/>
    <col min="20" max="20" width="11.6640625" style="5" customWidth="1"/>
    <col min="21" max="16384" width="9.109375" style="5"/>
  </cols>
  <sheetData>
    <row r="1" spans="1:20" s="12" customFormat="1" ht="27" customHeight="1" x14ac:dyDescent="0.3">
      <c r="A1" s="356" t="s">
        <v>104</v>
      </c>
      <c r="B1" s="356"/>
      <c r="C1" s="356"/>
      <c r="D1" s="356"/>
      <c r="E1" s="356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</row>
    <row r="2" spans="1:20" s="12" customFormat="1" ht="13.8" x14ac:dyDescent="0.3">
      <c r="A2" s="15" t="s">
        <v>0</v>
      </c>
      <c r="B2" s="27"/>
      <c r="C2" s="28"/>
      <c r="D2" s="28"/>
      <c r="E2" s="28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</row>
    <row r="3" spans="1:20" ht="5.25" customHeight="1" x14ac:dyDescent="0.25">
      <c r="A3" s="8"/>
      <c r="B3" s="29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7"/>
    </row>
    <row r="4" spans="1:20" ht="15.75" customHeight="1" x14ac:dyDescent="0.25">
      <c r="A4" s="357" t="s">
        <v>1</v>
      </c>
      <c r="B4" s="360" t="s">
        <v>70</v>
      </c>
      <c r="C4" s="360" t="s">
        <v>71</v>
      </c>
      <c r="D4" s="360" t="s">
        <v>72</v>
      </c>
      <c r="E4" s="360" t="s">
        <v>2</v>
      </c>
      <c r="F4" s="347" t="s">
        <v>73</v>
      </c>
      <c r="G4" s="348"/>
      <c r="H4" s="351" t="s">
        <v>74</v>
      </c>
      <c r="I4" s="352"/>
      <c r="J4" s="352"/>
      <c r="K4" s="352"/>
      <c r="L4" s="352"/>
      <c r="M4" s="352"/>
      <c r="N4" s="353"/>
      <c r="O4" s="354" t="s">
        <v>75</v>
      </c>
      <c r="P4" s="354"/>
      <c r="Q4" s="354"/>
      <c r="R4" s="354"/>
      <c r="S4" s="354"/>
      <c r="T4" s="355" t="s">
        <v>107</v>
      </c>
    </row>
    <row r="5" spans="1:20" ht="39" customHeight="1" x14ac:dyDescent="0.35">
      <c r="A5" s="358"/>
      <c r="B5" s="361"/>
      <c r="C5" s="361"/>
      <c r="D5" s="361"/>
      <c r="E5" s="361"/>
      <c r="F5" s="349"/>
      <c r="G5" s="350"/>
      <c r="H5" s="351" t="s">
        <v>76</v>
      </c>
      <c r="I5" s="352"/>
      <c r="J5" s="354" t="s">
        <v>77</v>
      </c>
      <c r="K5" s="354"/>
      <c r="L5" s="352" t="s">
        <v>78</v>
      </c>
      <c r="M5" s="352"/>
      <c r="N5" s="9" t="s">
        <v>100</v>
      </c>
      <c r="O5" s="354" t="s">
        <v>101</v>
      </c>
      <c r="P5" s="354"/>
      <c r="Q5" s="10" t="s">
        <v>101</v>
      </c>
      <c r="R5" s="354" t="s">
        <v>79</v>
      </c>
      <c r="S5" s="354"/>
      <c r="T5" s="355"/>
    </row>
    <row r="6" spans="1:20" ht="28.5" customHeight="1" x14ac:dyDescent="0.35">
      <c r="A6" s="359"/>
      <c r="B6" s="362"/>
      <c r="C6" s="362"/>
      <c r="D6" s="362"/>
      <c r="E6" s="362"/>
      <c r="F6" s="19" t="s">
        <v>80</v>
      </c>
      <c r="G6" s="18" t="s">
        <v>81</v>
      </c>
      <c r="H6" s="22" t="s">
        <v>82</v>
      </c>
      <c r="I6" s="22" t="s">
        <v>81</v>
      </c>
      <c r="J6" s="22" t="s">
        <v>83</v>
      </c>
      <c r="K6" s="22" t="s">
        <v>81</v>
      </c>
      <c r="L6" s="22" t="s">
        <v>84</v>
      </c>
      <c r="M6" s="22" t="s">
        <v>81</v>
      </c>
      <c r="N6" s="22" t="s">
        <v>105</v>
      </c>
      <c r="O6" s="19" t="s">
        <v>83</v>
      </c>
      <c r="P6" s="22" t="s">
        <v>81</v>
      </c>
      <c r="Q6" s="22" t="s">
        <v>102</v>
      </c>
      <c r="R6" s="22" t="s">
        <v>83</v>
      </c>
      <c r="S6" s="18" t="s">
        <v>81</v>
      </c>
      <c r="T6" s="355"/>
    </row>
    <row r="7" spans="1:20" x14ac:dyDescent="0.25">
      <c r="A7" s="20" t="s">
        <v>19</v>
      </c>
      <c r="B7" s="30" t="s">
        <v>18</v>
      </c>
      <c r="C7" s="31">
        <v>6.5</v>
      </c>
      <c r="D7" s="31">
        <v>7</v>
      </c>
      <c r="E7" s="32">
        <v>41501.444444444445</v>
      </c>
      <c r="F7" s="37">
        <v>5.39</v>
      </c>
      <c r="G7" s="23" t="s">
        <v>60</v>
      </c>
      <c r="H7" s="39">
        <v>9930</v>
      </c>
      <c r="I7" s="6" t="s">
        <v>60</v>
      </c>
      <c r="J7" s="40">
        <v>0.75</v>
      </c>
      <c r="K7" s="6" t="s">
        <v>60</v>
      </c>
      <c r="L7" s="39">
        <v>217000</v>
      </c>
      <c r="M7" s="6" t="s">
        <v>60</v>
      </c>
      <c r="N7" s="43">
        <v>624.96</v>
      </c>
      <c r="O7" s="50">
        <v>26</v>
      </c>
      <c r="P7" s="6" t="s">
        <v>85</v>
      </c>
      <c r="Q7" s="30">
        <f t="shared" ref="Q7:Q30" si="0">O7*10</f>
        <v>260</v>
      </c>
      <c r="R7" s="30" t="s">
        <v>63</v>
      </c>
      <c r="S7" s="25" t="s">
        <v>85</v>
      </c>
      <c r="T7" s="33">
        <f t="shared" ref="T7" si="1">IF(ISNUMBER(Q7),Q7/N7,"")</f>
        <v>0.41602662570404503</v>
      </c>
    </row>
    <row r="8" spans="1:20" x14ac:dyDescent="0.25">
      <c r="A8" s="20" t="s">
        <v>20</v>
      </c>
      <c r="B8" s="30" t="s">
        <v>18</v>
      </c>
      <c r="C8" s="31">
        <v>6.5</v>
      </c>
      <c r="D8" s="31">
        <v>7</v>
      </c>
      <c r="E8" s="32">
        <v>41501.447916666664</v>
      </c>
      <c r="F8" s="37">
        <v>5.45</v>
      </c>
      <c r="G8" s="23" t="s">
        <v>60</v>
      </c>
      <c r="H8" s="39">
        <v>9930</v>
      </c>
      <c r="I8" s="6" t="s">
        <v>60</v>
      </c>
      <c r="J8" s="40">
        <v>0.83</v>
      </c>
      <c r="K8" s="6" t="s">
        <v>60</v>
      </c>
      <c r="L8" s="39" t="s">
        <v>63</v>
      </c>
      <c r="M8" s="6" t="s">
        <v>85</v>
      </c>
      <c r="N8" s="30" t="s">
        <v>86</v>
      </c>
      <c r="O8" s="50">
        <v>29</v>
      </c>
      <c r="P8" s="6" t="s">
        <v>85</v>
      </c>
      <c r="Q8" s="30">
        <f t="shared" si="0"/>
        <v>290</v>
      </c>
      <c r="R8" s="30" t="s">
        <v>63</v>
      </c>
      <c r="S8" s="25" t="s">
        <v>85</v>
      </c>
      <c r="T8" s="33" t="s">
        <v>86</v>
      </c>
    </row>
    <row r="9" spans="1:20" x14ac:dyDescent="0.25">
      <c r="A9" s="20" t="s">
        <v>21</v>
      </c>
      <c r="B9" s="30" t="s">
        <v>18</v>
      </c>
      <c r="C9" s="31">
        <v>0.5</v>
      </c>
      <c r="D9" s="31">
        <v>1</v>
      </c>
      <c r="E9" s="32">
        <v>41498.4375</v>
      </c>
      <c r="F9" s="37">
        <v>3.71</v>
      </c>
      <c r="G9" s="23" t="s">
        <v>60</v>
      </c>
      <c r="H9" s="39">
        <v>10000</v>
      </c>
      <c r="I9" s="6" t="s">
        <v>60</v>
      </c>
      <c r="J9" s="40">
        <v>1.9</v>
      </c>
      <c r="K9" s="6" t="s">
        <v>60</v>
      </c>
      <c r="L9" s="39">
        <v>217000</v>
      </c>
      <c r="M9" s="6" t="s">
        <v>60</v>
      </c>
      <c r="N9" s="43">
        <v>602.84</v>
      </c>
      <c r="O9" s="50">
        <v>1</v>
      </c>
      <c r="P9" s="6" t="s">
        <v>85</v>
      </c>
      <c r="Q9" s="30">
        <f t="shared" si="0"/>
        <v>10</v>
      </c>
      <c r="R9" s="30" t="s">
        <v>63</v>
      </c>
      <c r="S9" s="25" t="s">
        <v>85</v>
      </c>
      <c r="T9" s="45">
        <f t="shared" ref="T9:T40" si="2">IF(ISNUMBER(Q9),Q9/N9,"")</f>
        <v>1.6588149426050029E-2</v>
      </c>
    </row>
    <row r="10" spans="1:20" x14ac:dyDescent="0.25">
      <c r="A10" s="20" t="s">
        <v>22</v>
      </c>
      <c r="B10" s="30" t="s">
        <v>18</v>
      </c>
      <c r="C10" s="31">
        <v>3</v>
      </c>
      <c r="D10" s="31">
        <v>3.5</v>
      </c>
      <c r="E10" s="32">
        <v>41498.486111111109</v>
      </c>
      <c r="F10" s="37">
        <v>5.44</v>
      </c>
      <c r="G10" s="23" t="s">
        <v>60</v>
      </c>
      <c r="H10" s="39">
        <v>10000</v>
      </c>
      <c r="I10" s="6" t="s">
        <v>60</v>
      </c>
      <c r="J10" s="40">
        <v>0.64</v>
      </c>
      <c r="K10" s="6" t="s">
        <v>60</v>
      </c>
      <c r="L10" s="39">
        <v>307000</v>
      </c>
      <c r="M10" s="6" t="s">
        <v>60</v>
      </c>
      <c r="N10" s="43">
        <v>920.24</v>
      </c>
      <c r="O10" s="50">
        <v>26</v>
      </c>
      <c r="P10" s="6" t="s">
        <v>85</v>
      </c>
      <c r="Q10" s="30">
        <f t="shared" si="0"/>
        <v>260</v>
      </c>
      <c r="R10" s="30" t="s">
        <v>63</v>
      </c>
      <c r="S10" s="25" t="s">
        <v>85</v>
      </c>
      <c r="T10" s="33">
        <f t="shared" si="2"/>
        <v>0.28253499087194645</v>
      </c>
    </row>
    <row r="11" spans="1:20" x14ac:dyDescent="0.25">
      <c r="A11" s="20" t="s">
        <v>23</v>
      </c>
      <c r="B11" s="30" t="s">
        <v>18</v>
      </c>
      <c r="C11" s="31">
        <v>9.5</v>
      </c>
      <c r="D11" s="31">
        <v>10</v>
      </c>
      <c r="E11" s="32">
        <v>41498.534722222219</v>
      </c>
      <c r="F11" s="37">
        <v>6.06</v>
      </c>
      <c r="G11" s="23" t="s">
        <v>60</v>
      </c>
      <c r="H11" s="39">
        <v>10000</v>
      </c>
      <c r="I11" s="6" t="s">
        <v>60</v>
      </c>
      <c r="J11" s="40">
        <v>0.66</v>
      </c>
      <c r="K11" s="6" t="s">
        <v>60</v>
      </c>
      <c r="L11" s="39">
        <v>269000</v>
      </c>
      <c r="M11" s="6" t="s">
        <v>60</v>
      </c>
      <c r="N11" s="43">
        <v>808.47</v>
      </c>
      <c r="O11" s="50">
        <v>22</v>
      </c>
      <c r="P11" s="6" t="s">
        <v>85</v>
      </c>
      <c r="Q11" s="30">
        <f t="shared" si="0"/>
        <v>220</v>
      </c>
      <c r="R11" s="30" t="s">
        <v>63</v>
      </c>
      <c r="S11" s="25" t="s">
        <v>85</v>
      </c>
      <c r="T11" s="33">
        <f t="shared" si="2"/>
        <v>0.27211894071517806</v>
      </c>
    </row>
    <row r="12" spans="1:20" x14ac:dyDescent="0.25">
      <c r="A12" s="20" t="s">
        <v>24</v>
      </c>
      <c r="B12" s="30" t="s">
        <v>18</v>
      </c>
      <c r="C12" s="31">
        <v>10</v>
      </c>
      <c r="D12" s="31">
        <v>10.5</v>
      </c>
      <c r="E12" s="32">
        <v>41498.527777777781</v>
      </c>
      <c r="F12" s="37">
        <v>7.04</v>
      </c>
      <c r="G12" s="23" t="s">
        <v>60</v>
      </c>
      <c r="H12" s="39">
        <v>1880</v>
      </c>
      <c r="I12" s="6" t="s">
        <v>60</v>
      </c>
      <c r="J12" s="40">
        <v>0.02</v>
      </c>
      <c r="K12" s="6" t="s">
        <v>60</v>
      </c>
      <c r="L12" s="39">
        <v>44700</v>
      </c>
      <c r="M12" s="6" t="s">
        <v>60</v>
      </c>
      <c r="N12" s="43">
        <v>138.11000000000001</v>
      </c>
      <c r="O12" s="50">
        <v>12</v>
      </c>
      <c r="P12" s="6" t="s">
        <v>85</v>
      </c>
      <c r="Q12" s="30">
        <f t="shared" si="0"/>
        <v>120</v>
      </c>
      <c r="R12" s="30" t="s">
        <v>63</v>
      </c>
      <c r="S12" s="25" t="s">
        <v>85</v>
      </c>
      <c r="T12" s="33">
        <f t="shared" si="2"/>
        <v>0.868872637752516</v>
      </c>
    </row>
    <row r="13" spans="1:20" x14ac:dyDescent="0.25">
      <c r="A13" s="20" t="s">
        <v>25</v>
      </c>
      <c r="B13" s="30" t="s">
        <v>18</v>
      </c>
      <c r="C13" s="31">
        <v>11.5</v>
      </c>
      <c r="D13" s="31">
        <v>12</v>
      </c>
      <c r="E13" s="32">
        <v>41498.520833333336</v>
      </c>
      <c r="F13" s="37">
        <v>7.01</v>
      </c>
      <c r="G13" s="23" t="s">
        <v>60</v>
      </c>
      <c r="H13" s="39">
        <v>842</v>
      </c>
      <c r="I13" s="6" t="s">
        <v>60</v>
      </c>
      <c r="J13" s="40">
        <v>0.01</v>
      </c>
      <c r="K13" s="6" t="s">
        <v>61</v>
      </c>
      <c r="L13" s="39">
        <v>41900</v>
      </c>
      <c r="M13" s="6" t="s">
        <v>60</v>
      </c>
      <c r="N13" s="43">
        <v>130.43</v>
      </c>
      <c r="O13" s="50">
        <v>8</v>
      </c>
      <c r="P13" s="6" t="s">
        <v>85</v>
      </c>
      <c r="Q13" s="30">
        <f t="shared" si="0"/>
        <v>80</v>
      </c>
      <c r="R13" s="30" t="s">
        <v>63</v>
      </c>
      <c r="S13" s="25" t="s">
        <v>85</v>
      </c>
      <c r="T13" s="33">
        <f t="shared" si="2"/>
        <v>0.61335582304684499</v>
      </c>
    </row>
    <row r="14" spans="1:20" x14ac:dyDescent="0.25">
      <c r="A14" s="20" t="s">
        <v>26</v>
      </c>
      <c r="B14" s="30" t="s">
        <v>18</v>
      </c>
      <c r="C14" s="31">
        <v>12.5</v>
      </c>
      <c r="D14" s="31">
        <v>13</v>
      </c>
      <c r="E14" s="32">
        <v>41498.670138888891</v>
      </c>
      <c r="F14" s="37">
        <v>7.41</v>
      </c>
      <c r="G14" s="23" t="s">
        <v>60</v>
      </c>
      <c r="H14" s="39">
        <v>1965</v>
      </c>
      <c r="I14" s="6" t="s">
        <v>60</v>
      </c>
      <c r="J14" s="40">
        <v>0.05</v>
      </c>
      <c r="K14" s="6" t="s">
        <v>60</v>
      </c>
      <c r="L14" s="39">
        <v>4600</v>
      </c>
      <c r="M14" s="6" t="s">
        <v>60</v>
      </c>
      <c r="N14" s="33">
        <v>12.53</v>
      </c>
      <c r="O14" s="50">
        <v>30</v>
      </c>
      <c r="P14" s="6" t="s">
        <v>85</v>
      </c>
      <c r="Q14" s="30">
        <f t="shared" si="0"/>
        <v>300</v>
      </c>
      <c r="R14" s="30" t="s">
        <v>63</v>
      </c>
      <c r="S14" s="25" t="s">
        <v>85</v>
      </c>
      <c r="T14" s="33">
        <f t="shared" si="2"/>
        <v>23.942537909018355</v>
      </c>
    </row>
    <row r="15" spans="1:20" x14ac:dyDescent="0.25">
      <c r="A15" s="20" t="s">
        <v>27</v>
      </c>
      <c r="B15" s="30" t="s">
        <v>18</v>
      </c>
      <c r="C15" s="31">
        <v>18.5</v>
      </c>
      <c r="D15" s="31">
        <v>19</v>
      </c>
      <c r="E15" s="32">
        <v>41499.4375</v>
      </c>
      <c r="F15" s="37">
        <v>7.57</v>
      </c>
      <c r="G15" s="23" t="s">
        <v>60</v>
      </c>
      <c r="H15" s="39">
        <v>1145</v>
      </c>
      <c r="I15" s="6" t="s">
        <v>60</v>
      </c>
      <c r="J15" s="40">
        <v>0.01</v>
      </c>
      <c r="K15" s="6" t="s">
        <v>61</v>
      </c>
      <c r="L15" s="39">
        <v>2500</v>
      </c>
      <c r="M15" s="6" t="s">
        <v>60</v>
      </c>
      <c r="N15" s="30">
        <v>7.38</v>
      </c>
      <c r="O15" s="50">
        <v>90</v>
      </c>
      <c r="P15" s="6" t="s">
        <v>85</v>
      </c>
      <c r="Q15" s="30">
        <f t="shared" si="0"/>
        <v>900</v>
      </c>
      <c r="R15" s="30" t="s">
        <v>63</v>
      </c>
      <c r="S15" s="25" t="s">
        <v>85</v>
      </c>
      <c r="T15" s="43">
        <f t="shared" si="2"/>
        <v>121.95121951219512</v>
      </c>
    </row>
    <row r="16" spans="1:20" x14ac:dyDescent="0.25">
      <c r="A16" s="20" t="s">
        <v>28</v>
      </c>
      <c r="B16" s="30" t="s">
        <v>18</v>
      </c>
      <c r="C16" s="31">
        <v>21.5</v>
      </c>
      <c r="D16" s="31">
        <v>22</v>
      </c>
      <c r="E16" s="32">
        <v>41499.454861111109</v>
      </c>
      <c r="F16" s="37">
        <v>7.55</v>
      </c>
      <c r="G16" s="23" t="s">
        <v>60</v>
      </c>
      <c r="H16" s="39">
        <v>1000</v>
      </c>
      <c r="I16" s="6" t="s">
        <v>60</v>
      </c>
      <c r="J16" s="40">
        <v>0.01</v>
      </c>
      <c r="K16" s="6" t="s">
        <v>61</v>
      </c>
      <c r="L16" s="39">
        <v>1400</v>
      </c>
      <c r="M16" s="6" t="s">
        <v>60</v>
      </c>
      <c r="N16" s="30">
        <v>3.88</v>
      </c>
      <c r="O16" s="50">
        <v>62</v>
      </c>
      <c r="P16" s="6" t="s">
        <v>85</v>
      </c>
      <c r="Q16" s="30">
        <f t="shared" si="0"/>
        <v>620</v>
      </c>
      <c r="R16" s="30" t="s">
        <v>63</v>
      </c>
      <c r="S16" s="25" t="s">
        <v>85</v>
      </c>
      <c r="T16" s="43">
        <f t="shared" si="2"/>
        <v>159.79381443298971</v>
      </c>
    </row>
    <row r="17" spans="1:20" x14ac:dyDescent="0.25">
      <c r="A17" s="20" t="s">
        <v>29</v>
      </c>
      <c r="B17" s="30" t="s">
        <v>18</v>
      </c>
      <c r="C17" s="31">
        <v>26</v>
      </c>
      <c r="D17" s="31">
        <v>26.5</v>
      </c>
      <c r="E17" s="32">
        <v>41499.489583333336</v>
      </c>
      <c r="F17" s="37">
        <v>7.43</v>
      </c>
      <c r="G17" s="23" t="s">
        <v>60</v>
      </c>
      <c r="H17" s="39">
        <v>787</v>
      </c>
      <c r="I17" s="6" t="s">
        <v>60</v>
      </c>
      <c r="J17" s="40">
        <v>0.01</v>
      </c>
      <c r="K17" s="6" t="s">
        <v>60</v>
      </c>
      <c r="L17" s="39">
        <v>1200</v>
      </c>
      <c r="M17" s="6" t="s">
        <v>60</v>
      </c>
      <c r="N17" s="30">
        <v>3.26</v>
      </c>
      <c r="O17" s="50">
        <v>15</v>
      </c>
      <c r="P17" s="6" t="s">
        <v>85</v>
      </c>
      <c r="Q17" s="30">
        <f t="shared" si="0"/>
        <v>150</v>
      </c>
      <c r="R17" s="30" t="s">
        <v>63</v>
      </c>
      <c r="S17" s="25" t="s">
        <v>85</v>
      </c>
      <c r="T17" s="33">
        <f t="shared" si="2"/>
        <v>46.012269938650313</v>
      </c>
    </row>
    <row r="18" spans="1:20" x14ac:dyDescent="0.25">
      <c r="A18" s="20" t="s">
        <v>30</v>
      </c>
      <c r="B18" s="30" t="s">
        <v>18</v>
      </c>
      <c r="C18" s="31">
        <v>29</v>
      </c>
      <c r="D18" s="31">
        <v>29.5</v>
      </c>
      <c r="E18" s="32">
        <v>41499.541666666664</v>
      </c>
      <c r="F18" s="37">
        <v>7.74</v>
      </c>
      <c r="G18" s="23" t="s">
        <v>60</v>
      </c>
      <c r="H18" s="39">
        <v>742</v>
      </c>
      <c r="I18" s="6" t="s">
        <v>60</v>
      </c>
      <c r="J18" s="40">
        <v>0.01</v>
      </c>
      <c r="K18" s="6" t="s">
        <v>60</v>
      </c>
      <c r="L18" s="39">
        <v>2700</v>
      </c>
      <c r="M18" s="6" t="s">
        <v>60</v>
      </c>
      <c r="N18" s="30">
        <v>8.02</v>
      </c>
      <c r="O18" s="50">
        <v>91</v>
      </c>
      <c r="P18" s="6" t="s">
        <v>85</v>
      </c>
      <c r="Q18" s="30">
        <f t="shared" si="0"/>
        <v>910</v>
      </c>
      <c r="R18" s="30" t="s">
        <v>63</v>
      </c>
      <c r="S18" s="25" t="s">
        <v>85</v>
      </c>
      <c r="T18" s="43">
        <f t="shared" si="2"/>
        <v>113.46633416458853</v>
      </c>
    </row>
    <row r="19" spans="1:20" x14ac:dyDescent="0.25">
      <c r="A19" s="20" t="s">
        <v>31</v>
      </c>
      <c r="B19" s="30" t="s">
        <v>18</v>
      </c>
      <c r="C19" s="31">
        <v>34.5</v>
      </c>
      <c r="D19" s="31">
        <v>35</v>
      </c>
      <c r="E19" s="32">
        <v>41499.666666666664</v>
      </c>
      <c r="F19" s="37">
        <v>7.66</v>
      </c>
      <c r="G19" s="23" t="s">
        <v>60</v>
      </c>
      <c r="H19" s="39">
        <v>842</v>
      </c>
      <c r="I19" s="6" t="s">
        <v>60</v>
      </c>
      <c r="J19" s="40">
        <v>0.01</v>
      </c>
      <c r="K19" s="6" t="s">
        <v>61</v>
      </c>
      <c r="L19" s="39">
        <v>2300</v>
      </c>
      <c r="M19" s="6" t="s">
        <v>60</v>
      </c>
      <c r="N19" s="30">
        <v>6.78</v>
      </c>
      <c r="O19" s="50">
        <v>74</v>
      </c>
      <c r="P19" s="6" t="s">
        <v>85</v>
      </c>
      <c r="Q19" s="30">
        <f t="shared" si="0"/>
        <v>740</v>
      </c>
      <c r="R19" s="30" t="s">
        <v>63</v>
      </c>
      <c r="S19" s="25" t="s">
        <v>85</v>
      </c>
      <c r="T19" s="43">
        <f t="shared" si="2"/>
        <v>109.14454277286136</v>
      </c>
    </row>
    <row r="20" spans="1:20" x14ac:dyDescent="0.25">
      <c r="A20" s="20" t="s">
        <v>32</v>
      </c>
      <c r="B20" s="30" t="s">
        <v>18</v>
      </c>
      <c r="C20" s="33">
        <v>13.71</v>
      </c>
      <c r="D20" s="33">
        <v>14.02</v>
      </c>
      <c r="E20" s="32">
        <v>41888.4375</v>
      </c>
      <c r="F20" s="37">
        <v>6.36</v>
      </c>
      <c r="G20" s="23" t="s">
        <v>60</v>
      </c>
      <c r="H20" s="39">
        <v>10000</v>
      </c>
      <c r="I20" s="6" t="s">
        <v>60</v>
      </c>
      <c r="J20" s="40">
        <v>0.69</v>
      </c>
      <c r="K20" s="6" t="s">
        <v>85</v>
      </c>
      <c r="L20" s="39">
        <v>117000</v>
      </c>
      <c r="M20" s="6" t="s">
        <v>60</v>
      </c>
      <c r="N20" s="43">
        <v>317.95434403154502</v>
      </c>
      <c r="O20" s="50">
        <v>6</v>
      </c>
      <c r="P20" s="6" t="s">
        <v>60</v>
      </c>
      <c r="Q20" s="30">
        <f t="shared" si="0"/>
        <v>60</v>
      </c>
      <c r="R20" s="30" t="s">
        <v>63</v>
      </c>
      <c r="S20" s="25" t="s">
        <v>85</v>
      </c>
      <c r="T20" s="33">
        <f t="shared" si="2"/>
        <v>0.18870633827241326</v>
      </c>
    </row>
    <row r="21" spans="1:20" x14ac:dyDescent="0.25">
      <c r="A21" s="20" t="s">
        <v>33</v>
      </c>
      <c r="B21" s="30" t="s">
        <v>18</v>
      </c>
      <c r="C21" s="33">
        <v>13.71</v>
      </c>
      <c r="D21" s="33">
        <v>14.02</v>
      </c>
      <c r="E21" s="32">
        <v>41888.4375</v>
      </c>
      <c r="F21" s="37">
        <v>6.58</v>
      </c>
      <c r="G21" s="23" t="s">
        <v>60</v>
      </c>
      <c r="H21" s="39">
        <v>10000</v>
      </c>
      <c r="I21" s="6" t="s">
        <v>60</v>
      </c>
      <c r="J21" s="40">
        <v>0.81</v>
      </c>
      <c r="K21" s="6" t="s">
        <v>85</v>
      </c>
      <c r="L21" s="39">
        <v>11000</v>
      </c>
      <c r="M21" s="6" t="s">
        <v>60</v>
      </c>
      <c r="N21" s="44">
        <v>1.56</v>
      </c>
      <c r="O21" s="50">
        <v>30</v>
      </c>
      <c r="P21" s="6" t="s">
        <v>60</v>
      </c>
      <c r="Q21" s="30">
        <f t="shared" si="0"/>
        <v>300</v>
      </c>
      <c r="R21" s="30" t="s">
        <v>63</v>
      </c>
      <c r="S21" s="25" t="s">
        <v>85</v>
      </c>
      <c r="T21" s="33">
        <f t="shared" si="2"/>
        <v>192.30769230769229</v>
      </c>
    </row>
    <row r="22" spans="1:20" x14ac:dyDescent="0.25">
      <c r="A22" s="20" t="s">
        <v>34</v>
      </c>
      <c r="B22" s="30" t="s">
        <v>18</v>
      </c>
      <c r="C22" s="33">
        <v>2.13</v>
      </c>
      <c r="D22" s="33">
        <v>2.44</v>
      </c>
      <c r="E22" s="32">
        <v>41885.677083333336</v>
      </c>
      <c r="F22" s="37">
        <v>2.37</v>
      </c>
      <c r="G22" s="23" t="s">
        <v>60</v>
      </c>
      <c r="H22" s="39">
        <v>10000</v>
      </c>
      <c r="I22" s="6" t="s">
        <v>60</v>
      </c>
      <c r="J22" s="40">
        <v>1.37</v>
      </c>
      <c r="K22" s="6" t="s">
        <v>85</v>
      </c>
      <c r="L22" s="39">
        <v>393000</v>
      </c>
      <c r="M22" s="6" t="s">
        <v>85</v>
      </c>
      <c r="N22" s="43">
        <v>1158.8747157939758</v>
      </c>
      <c r="O22" s="50">
        <v>1</v>
      </c>
      <c r="P22" s="6" t="s">
        <v>62</v>
      </c>
      <c r="Q22" s="30">
        <f t="shared" si="0"/>
        <v>10</v>
      </c>
      <c r="R22" s="30" t="s">
        <v>63</v>
      </c>
      <c r="S22" s="25" t="s">
        <v>85</v>
      </c>
      <c r="T22" s="33">
        <f t="shared" si="2"/>
        <v>8.6290604702241123E-3</v>
      </c>
    </row>
    <row r="23" spans="1:20" x14ac:dyDescent="0.25">
      <c r="A23" s="20" t="s">
        <v>35</v>
      </c>
      <c r="B23" s="30" t="s">
        <v>18</v>
      </c>
      <c r="C23" s="33">
        <v>16.46</v>
      </c>
      <c r="D23" s="33">
        <v>16.760000000000002</v>
      </c>
      <c r="E23" s="32">
        <v>41885.739583333336</v>
      </c>
      <c r="F23" s="37">
        <v>5.13</v>
      </c>
      <c r="G23" s="23" t="s">
        <v>60</v>
      </c>
      <c r="H23" s="39">
        <v>5340</v>
      </c>
      <c r="I23" s="6" t="s">
        <v>85</v>
      </c>
      <c r="J23" s="40">
        <v>0.23</v>
      </c>
      <c r="K23" s="6" t="s">
        <v>85</v>
      </c>
      <c r="L23" s="39">
        <v>320000</v>
      </c>
      <c r="M23" s="6" t="s">
        <v>85</v>
      </c>
      <c r="N23" s="43">
        <v>961.83948720681735</v>
      </c>
      <c r="O23" s="50">
        <v>24</v>
      </c>
      <c r="P23" s="6" t="s">
        <v>85</v>
      </c>
      <c r="Q23" s="30">
        <f t="shared" si="0"/>
        <v>240</v>
      </c>
      <c r="R23" s="30" t="s">
        <v>63</v>
      </c>
      <c r="S23" s="25" t="s">
        <v>85</v>
      </c>
      <c r="T23" s="33">
        <f t="shared" si="2"/>
        <v>0.24952188300873382</v>
      </c>
    </row>
    <row r="24" spans="1:20" x14ac:dyDescent="0.25">
      <c r="A24" s="20" t="s">
        <v>36</v>
      </c>
      <c r="B24" s="30" t="s">
        <v>18</v>
      </c>
      <c r="C24" s="31">
        <v>19.2</v>
      </c>
      <c r="D24" s="31">
        <v>19.5</v>
      </c>
      <c r="E24" s="32">
        <v>41886.770833333336</v>
      </c>
      <c r="F24" s="37">
        <v>4.0599999999999996</v>
      </c>
      <c r="G24" s="23" t="s">
        <v>60</v>
      </c>
      <c r="H24" s="39">
        <v>792</v>
      </c>
      <c r="I24" s="6" t="s">
        <v>85</v>
      </c>
      <c r="J24" s="40">
        <v>0.08</v>
      </c>
      <c r="K24" s="6" t="s">
        <v>85</v>
      </c>
      <c r="L24" s="39">
        <v>12400</v>
      </c>
      <c r="M24" s="6" t="s">
        <v>85</v>
      </c>
      <c r="N24" s="33">
        <v>34.622663321372023</v>
      </c>
      <c r="O24" s="50">
        <v>6</v>
      </c>
      <c r="P24" s="6" t="s">
        <v>85</v>
      </c>
      <c r="Q24" s="30">
        <f t="shared" si="0"/>
        <v>60</v>
      </c>
      <c r="R24" s="30" t="s">
        <v>63</v>
      </c>
      <c r="S24" s="25" t="s">
        <v>85</v>
      </c>
      <c r="T24" s="33">
        <f t="shared" si="2"/>
        <v>1.7329689354938489</v>
      </c>
    </row>
    <row r="25" spans="1:20" x14ac:dyDescent="0.25">
      <c r="A25" s="20" t="s">
        <v>37</v>
      </c>
      <c r="B25" s="30" t="s">
        <v>18</v>
      </c>
      <c r="C25" s="33">
        <v>20.420000000000002</v>
      </c>
      <c r="D25" s="33">
        <v>20.73</v>
      </c>
      <c r="E25" s="32">
        <v>41886.621527777781</v>
      </c>
      <c r="F25" s="37">
        <v>4.32</v>
      </c>
      <c r="G25" s="23" t="s">
        <v>60</v>
      </c>
      <c r="H25" s="39">
        <v>766</v>
      </c>
      <c r="I25" s="6" t="s">
        <v>85</v>
      </c>
      <c r="J25" s="40">
        <v>0.04</v>
      </c>
      <c r="K25" s="6" t="s">
        <v>85</v>
      </c>
      <c r="L25" s="39">
        <v>7100</v>
      </c>
      <c r="M25" s="6" t="s">
        <v>85</v>
      </c>
      <c r="N25" s="33">
        <v>19.873818537409591</v>
      </c>
      <c r="O25" s="50">
        <v>6</v>
      </c>
      <c r="P25" s="6" t="s">
        <v>85</v>
      </c>
      <c r="Q25" s="30">
        <f t="shared" si="0"/>
        <v>60</v>
      </c>
      <c r="R25" s="30" t="s">
        <v>63</v>
      </c>
      <c r="S25" s="25" t="s">
        <v>85</v>
      </c>
      <c r="T25" s="33">
        <f t="shared" si="2"/>
        <v>3.0190473907698552</v>
      </c>
    </row>
    <row r="26" spans="1:20" x14ac:dyDescent="0.25">
      <c r="A26" s="20" t="s">
        <v>38</v>
      </c>
      <c r="B26" s="30" t="s">
        <v>18</v>
      </c>
      <c r="C26" s="33">
        <v>21.64</v>
      </c>
      <c r="D26" s="33">
        <v>21.95</v>
      </c>
      <c r="E26" s="32">
        <v>41886.625</v>
      </c>
      <c r="F26" s="37">
        <v>4.09</v>
      </c>
      <c r="G26" s="23" t="s">
        <v>60</v>
      </c>
      <c r="H26" s="39">
        <v>1045</v>
      </c>
      <c r="I26" s="6" t="s">
        <v>85</v>
      </c>
      <c r="J26" s="40">
        <v>0.01</v>
      </c>
      <c r="K26" s="6" t="s">
        <v>62</v>
      </c>
      <c r="L26" s="39">
        <v>1900</v>
      </c>
      <c r="M26" s="6" t="s">
        <v>85</v>
      </c>
      <c r="N26" s="45">
        <v>4.5014314405672087</v>
      </c>
      <c r="O26" s="50">
        <v>7</v>
      </c>
      <c r="P26" s="6" t="s">
        <v>85</v>
      </c>
      <c r="Q26" s="30">
        <f t="shared" si="0"/>
        <v>70</v>
      </c>
      <c r="R26" s="30" t="s">
        <v>63</v>
      </c>
      <c r="S26" s="25" t="s">
        <v>85</v>
      </c>
      <c r="T26" s="33">
        <f t="shared" si="2"/>
        <v>15.550608939448727</v>
      </c>
    </row>
    <row r="27" spans="1:20" x14ac:dyDescent="0.25">
      <c r="A27" s="20" t="s">
        <v>39</v>
      </c>
      <c r="B27" s="30" t="s">
        <v>18</v>
      </c>
      <c r="C27" s="33">
        <v>23.77</v>
      </c>
      <c r="D27" s="33">
        <v>24.08</v>
      </c>
      <c r="E27" s="32">
        <v>41886.635416666664</v>
      </c>
      <c r="F27" s="37">
        <v>3.64</v>
      </c>
      <c r="G27" s="23" t="s">
        <v>60</v>
      </c>
      <c r="H27" s="39">
        <v>743</v>
      </c>
      <c r="I27" s="6" t="s">
        <v>85</v>
      </c>
      <c r="J27" s="40">
        <v>0.12</v>
      </c>
      <c r="K27" s="6" t="s">
        <v>85</v>
      </c>
      <c r="L27" s="39">
        <v>2100</v>
      </c>
      <c r="M27" s="6" t="s">
        <v>85</v>
      </c>
      <c r="N27" s="45">
        <v>1.7542886796812902</v>
      </c>
      <c r="O27" s="50">
        <v>5</v>
      </c>
      <c r="P27" s="6" t="s">
        <v>85</v>
      </c>
      <c r="Q27" s="30">
        <f t="shared" si="0"/>
        <v>50</v>
      </c>
      <c r="R27" s="30" t="s">
        <v>63</v>
      </c>
      <c r="S27" s="25" t="s">
        <v>85</v>
      </c>
      <c r="T27" s="33">
        <f t="shared" si="2"/>
        <v>28.501580486219481</v>
      </c>
    </row>
    <row r="28" spans="1:20" x14ac:dyDescent="0.25">
      <c r="A28" s="20" t="s">
        <v>40</v>
      </c>
      <c r="B28" s="30" t="s">
        <v>18</v>
      </c>
      <c r="C28" s="33">
        <v>25.6</v>
      </c>
      <c r="D28" s="33">
        <v>25.91</v>
      </c>
      <c r="E28" s="32">
        <v>41886.635416666664</v>
      </c>
      <c r="F28" s="37">
        <v>3.72</v>
      </c>
      <c r="G28" s="23" t="s">
        <v>60</v>
      </c>
      <c r="H28" s="39">
        <v>808</v>
      </c>
      <c r="I28" s="6" t="s">
        <v>85</v>
      </c>
      <c r="J28" s="40">
        <v>0.01</v>
      </c>
      <c r="K28" s="6" t="s">
        <v>85</v>
      </c>
      <c r="L28" s="39">
        <v>1000</v>
      </c>
      <c r="M28" s="6" t="s">
        <v>85</v>
      </c>
      <c r="N28" s="45">
        <v>1.7763472814874071</v>
      </c>
      <c r="O28" s="50">
        <v>5</v>
      </c>
      <c r="P28" s="6" t="s">
        <v>85</v>
      </c>
      <c r="Q28" s="30">
        <f t="shared" si="0"/>
        <v>50</v>
      </c>
      <c r="R28" s="30" t="s">
        <v>63</v>
      </c>
      <c r="S28" s="25" t="s">
        <v>85</v>
      </c>
      <c r="T28" s="33">
        <f t="shared" si="2"/>
        <v>28.147649123054919</v>
      </c>
    </row>
    <row r="29" spans="1:20" x14ac:dyDescent="0.25">
      <c r="A29" s="20" t="s">
        <v>87</v>
      </c>
      <c r="B29" s="30" t="s">
        <v>18</v>
      </c>
      <c r="C29" s="31">
        <v>6.7</v>
      </c>
      <c r="D29" s="31">
        <v>7.1</v>
      </c>
      <c r="E29" s="32">
        <v>41888.645833333336</v>
      </c>
      <c r="F29" s="37">
        <v>4.49</v>
      </c>
      <c r="G29" s="23" t="s">
        <v>60</v>
      </c>
      <c r="H29" s="39">
        <v>10000</v>
      </c>
      <c r="I29" s="6" t="s">
        <v>60</v>
      </c>
      <c r="J29" s="40">
        <v>0.74</v>
      </c>
      <c r="K29" s="6" t="s">
        <v>85</v>
      </c>
      <c r="L29" s="39">
        <v>403000</v>
      </c>
      <c r="M29" s="6" t="s">
        <v>85</v>
      </c>
      <c r="N29" s="43">
        <v>1207.2643860972132</v>
      </c>
      <c r="O29" s="50">
        <v>80</v>
      </c>
      <c r="P29" s="6" t="s">
        <v>85</v>
      </c>
      <c r="Q29" s="30">
        <f t="shared" si="0"/>
        <v>800</v>
      </c>
      <c r="R29" s="30" t="s">
        <v>63</v>
      </c>
      <c r="S29" s="25" t="s">
        <v>85</v>
      </c>
      <c r="T29" s="33">
        <f t="shared" si="2"/>
        <v>0.66265518076467234</v>
      </c>
    </row>
    <row r="30" spans="1:20" x14ac:dyDescent="0.25">
      <c r="A30" s="20" t="s">
        <v>88</v>
      </c>
      <c r="B30" s="30" t="s">
        <v>18</v>
      </c>
      <c r="C30" s="31">
        <v>12.8</v>
      </c>
      <c r="D30" s="31">
        <v>13.1</v>
      </c>
      <c r="E30" s="32">
        <v>41888.670138888891</v>
      </c>
      <c r="F30" s="37">
        <v>5.72</v>
      </c>
      <c r="G30" s="23" t="s">
        <v>60</v>
      </c>
      <c r="H30" s="39">
        <v>10000</v>
      </c>
      <c r="I30" s="6" t="s">
        <v>60</v>
      </c>
      <c r="J30" s="40">
        <v>0.6</v>
      </c>
      <c r="K30" s="6" t="s">
        <v>85</v>
      </c>
      <c r="L30" s="39">
        <v>374000</v>
      </c>
      <c r="M30" s="6" t="s">
        <v>85</v>
      </c>
      <c r="N30" s="43">
        <v>1109.1257501381526</v>
      </c>
      <c r="O30" s="50">
        <v>25</v>
      </c>
      <c r="P30" s="6" t="s">
        <v>85</v>
      </c>
      <c r="Q30" s="30">
        <f t="shared" si="0"/>
        <v>250</v>
      </c>
      <c r="R30" s="30" t="s">
        <v>63</v>
      </c>
      <c r="S30" s="25" t="s">
        <v>85</v>
      </c>
      <c r="T30" s="33">
        <f t="shared" si="2"/>
        <v>0.22540275525012382</v>
      </c>
    </row>
    <row r="31" spans="1:20" x14ac:dyDescent="0.25">
      <c r="A31" s="20" t="s">
        <v>41</v>
      </c>
      <c r="B31" s="30" t="s">
        <v>18</v>
      </c>
      <c r="C31" s="33">
        <v>4.57</v>
      </c>
      <c r="D31" s="33">
        <v>5.0289999999999999</v>
      </c>
      <c r="E31" s="32">
        <v>41868.590277777781</v>
      </c>
      <c r="F31" s="37" t="s">
        <v>63</v>
      </c>
      <c r="G31" s="23" t="s">
        <v>85</v>
      </c>
      <c r="H31" s="39" t="s">
        <v>63</v>
      </c>
      <c r="I31" s="6" t="s">
        <v>85</v>
      </c>
      <c r="J31" s="40" t="s">
        <v>63</v>
      </c>
      <c r="K31" s="6" t="s">
        <v>85</v>
      </c>
      <c r="L31" s="39">
        <v>210000</v>
      </c>
      <c r="M31" s="6" t="s">
        <v>85</v>
      </c>
      <c r="N31" s="44">
        <f t="shared" ref="N31:N32" si="3">L31*31.25/10000</f>
        <v>656.25</v>
      </c>
      <c r="O31" s="50">
        <v>27</v>
      </c>
      <c r="P31" s="6" t="s">
        <v>85</v>
      </c>
      <c r="Q31" s="30">
        <v>270</v>
      </c>
      <c r="R31" s="30" t="s">
        <v>63</v>
      </c>
      <c r="S31" s="25" t="s">
        <v>85</v>
      </c>
      <c r="T31" s="33">
        <f t="shared" si="2"/>
        <v>0.41142857142857142</v>
      </c>
    </row>
    <row r="32" spans="1:20" x14ac:dyDescent="0.25">
      <c r="A32" s="20" t="s">
        <v>42</v>
      </c>
      <c r="B32" s="30" t="s">
        <v>18</v>
      </c>
      <c r="C32" s="33">
        <v>6.1</v>
      </c>
      <c r="D32" s="33">
        <v>6.55</v>
      </c>
      <c r="E32" s="32">
        <v>41868.614583333336</v>
      </c>
      <c r="F32" s="37" t="s">
        <v>63</v>
      </c>
      <c r="G32" s="23" t="s">
        <v>85</v>
      </c>
      <c r="H32" s="39" t="s">
        <v>63</v>
      </c>
      <c r="I32" s="6" t="s">
        <v>85</v>
      </c>
      <c r="J32" s="40" t="s">
        <v>63</v>
      </c>
      <c r="K32" s="6" t="s">
        <v>85</v>
      </c>
      <c r="L32" s="39">
        <v>278000</v>
      </c>
      <c r="M32" s="6" t="s">
        <v>85</v>
      </c>
      <c r="N32" s="44">
        <f t="shared" si="3"/>
        <v>868.75</v>
      </c>
      <c r="O32" s="50">
        <v>43</v>
      </c>
      <c r="P32" s="6" t="s">
        <v>85</v>
      </c>
      <c r="Q32" s="30">
        <v>430</v>
      </c>
      <c r="R32" s="30" t="s">
        <v>63</v>
      </c>
      <c r="S32" s="25" t="s">
        <v>85</v>
      </c>
      <c r="T32" s="33">
        <f t="shared" si="2"/>
        <v>0.49496402877697843</v>
      </c>
    </row>
    <row r="33" spans="1:20" x14ac:dyDescent="0.25">
      <c r="A33" s="20" t="s">
        <v>43</v>
      </c>
      <c r="B33" s="30" t="s">
        <v>18</v>
      </c>
      <c r="C33" s="33">
        <v>9.75</v>
      </c>
      <c r="D33" s="33">
        <v>10.210000000000001</v>
      </c>
      <c r="E33" s="32">
        <v>41868.732638888891</v>
      </c>
      <c r="F33" s="37">
        <v>4.3600000000000003</v>
      </c>
      <c r="G33" s="23" t="s">
        <v>60</v>
      </c>
      <c r="H33" s="39">
        <v>9230</v>
      </c>
      <c r="I33" s="6" t="s">
        <v>85</v>
      </c>
      <c r="J33" s="40">
        <v>0.31</v>
      </c>
      <c r="K33" s="6" t="s">
        <v>85</v>
      </c>
      <c r="L33" s="39">
        <v>335000</v>
      </c>
      <c r="M33" s="6" t="s">
        <v>85</v>
      </c>
      <c r="N33" s="43">
        <v>1016.7199565619567</v>
      </c>
      <c r="O33" s="50">
        <v>24</v>
      </c>
      <c r="P33" s="6" t="s">
        <v>85</v>
      </c>
      <c r="Q33" s="30">
        <v>240</v>
      </c>
      <c r="R33" s="30" t="s">
        <v>63</v>
      </c>
      <c r="S33" s="25" t="s">
        <v>85</v>
      </c>
      <c r="T33" s="33">
        <f t="shared" si="2"/>
        <v>0.2360532007373605</v>
      </c>
    </row>
    <row r="34" spans="1:20" x14ac:dyDescent="0.25">
      <c r="A34" s="20" t="s">
        <v>44</v>
      </c>
      <c r="B34" s="30" t="s">
        <v>18</v>
      </c>
      <c r="C34" s="33">
        <v>0.61</v>
      </c>
      <c r="D34" s="33">
        <v>1.07</v>
      </c>
      <c r="E34" s="32">
        <v>41865.465277777781</v>
      </c>
      <c r="F34" s="37">
        <v>4.29</v>
      </c>
      <c r="G34" s="23" t="s">
        <v>60</v>
      </c>
      <c r="H34" s="39">
        <v>10000</v>
      </c>
      <c r="I34" s="6" t="s">
        <v>60</v>
      </c>
      <c r="J34" s="40">
        <v>0.93</v>
      </c>
      <c r="K34" s="6" t="s">
        <v>85</v>
      </c>
      <c r="L34" s="39">
        <v>253000</v>
      </c>
      <c r="M34" s="6" t="s">
        <v>85</v>
      </c>
      <c r="N34" s="43">
        <v>741.27656098384261</v>
      </c>
      <c r="O34" s="50">
        <v>24</v>
      </c>
      <c r="P34" s="6" t="s">
        <v>85</v>
      </c>
      <c r="Q34" s="30">
        <v>240</v>
      </c>
      <c r="R34" s="30" t="s">
        <v>63</v>
      </c>
      <c r="S34" s="25" t="s">
        <v>85</v>
      </c>
      <c r="T34" s="33">
        <f t="shared" si="2"/>
        <v>0.32376580163477098</v>
      </c>
    </row>
    <row r="35" spans="1:20" x14ac:dyDescent="0.25">
      <c r="A35" s="20" t="s">
        <v>45</v>
      </c>
      <c r="B35" s="30" t="s">
        <v>18</v>
      </c>
      <c r="C35" s="33">
        <v>9.14</v>
      </c>
      <c r="D35" s="33">
        <v>9.6</v>
      </c>
      <c r="E35" s="32">
        <v>41865.729166666664</v>
      </c>
      <c r="F35" s="37">
        <v>5.5</v>
      </c>
      <c r="G35" s="23" t="s">
        <v>60</v>
      </c>
      <c r="H35" s="39">
        <v>5770</v>
      </c>
      <c r="I35" s="6" t="s">
        <v>85</v>
      </c>
      <c r="J35" s="40">
        <v>0.21</v>
      </c>
      <c r="K35" s="6" t="s">
        <v>85</v>
      </c>
      <c r="L35" s="39">
        <v>408000</v>
      </c>
      <c r="M35" s="6" t="s">
        <v>85</v>
      </c>
      <c r="N35" s="43">
        <v>1251.1689958836935</v>
      </c>
      <c r="O35" s="50">
        <v>21</v>
      </c>
      <c r="P35" s="6" t="s">
        <v>85</v>
      </c>
      <c r="Q35" s="30">
        <v>210</v>
      </c>
      <c r="R35" s="30" t="s">
        <v>63</v>
      </c>
      <c r="S35" s="25" t="s">
        <v>85</v>
      </c>
      <c r="T35" s="33">
        <f t="shared" si="2"/>
        <v>0.16784303374755399</v>
      </c>
    </row>
    <row r="36" spans="1:20" x14ac:dyDescent="0.25">
      <c r="A36" s="20" t="s">
        <v>46</v>
      </c>
      <c r="B36" s="30" t="s">
        <v>18</v>
      </c>
      <c r="C36" s="33">
        <v>12.19</v>
      </c>
      <c r="D36" s="33">
        <v>12.65</v>
      </c>
      <c r="E36" s="32">
        <v>41866.493055555555</v>
      </c>
      <c r="F36" s="37">
        <v>5.93</v>
      </c>
      <c r="G36" s="23" t="s">
        <v>60</v>
      </c>
      <c r="H36" s="39">
        <v>10000</v>
      </c>
      <c r="I36" s="6" t="s">
        <v>60</v>
      </c>
      <c r="J36" s="40">
        <v>0.64</v>
      </c>
      <c r="K36" s="6" t="s">
        <v>85</v>
      </c>
      <c r="L36" s="39">
        <v>305000</v>
      </c>
      <c r="M36" s="6" t="s">
        <v>85</v>
      </c>
      <c r="N36" s="43">
        <v>909.44786523011999</v>
      </c>
      <c r="O36" s="50">
        <v>27</v>
      </c>
      <c r="P36" s="6" t="s">
        <v>85</v>
      </c>
      <c r="Q36" s="30">
        <v>270</v>
      </c>
      <c r="R36" s="30" t="s">
        <v>63</v>
      </c>
      <c r="S36" s="25" t="s">
        <v>85</v>
      </c>
      <c r="T36" s="33">
        <f t="shared" si="2"/>
        <v>0.29688342820144087</v>
      </c>
    </row>
    <row r="37" spans="1:20" x14ac:dyDescent="0.25">
      <c r="A37" s="20" t="s">
        <v>47</v>
      </c>
      <c r="B37" s="30" t="s">
        <v>18</v>
      </c>
      <c r="C37" s="33">
        <v>15.85</v>
      </c>
      <c r="D37" s="33">
        <v>16.309999999999999</v>
      </c>
      <c r="E37" s="32">
        <v>41866.704861111109</v>
      </c>
      <c r="F37" s="37">
        <v>5.99</v>
      </c>
      <c r="G37" s="23" t="s">
        <v>60</v>
      </c>
      <c r="H37" s="39">
        <v>9870</v>
      </c>
      <c r="I37" s="6" t="s">
        <v>85</v>
      </c>
      <c r="J37" s="40">
        <v>0.25</v>
      </c>
      <c r="K37" s="6" t="s">
        <v>85</v>
      </c>
      <c r="L37" s="39">
        <v>337000</v>
      </c>
      <c r="M37" s="6" t="s">
        <v>85</v>
      </c>
      <c r="N37" s="43">
        <v>1025.042736561117</v>
      </c>
      <c r="O37" s="50">
        <v>20</v>
      </c>
      <c r="P37" s="6" t="s">
        <v>85</v>
      </c>
      <c r="Q37" s="30">
        <v>200</v>
      </c>
      <c r="R37" s="30" t="s">
        <v>63</v>
      </c>
      <c r="S37" s="25" t="s">
        <v>85</v>
      </c>
      <c r="T37" s="33">
        <f t="shared" si="2"/>
        <v>0.1951138161038764</v>
      </c>
    </row>
    <row r="38" spans="1:20" x14ac:dyDescent="0.25">
      <c r="A38" s="20" t="s">
        <v>48</v>
      </c>
      <c r="B38" s="30" t="s">
        <v>18</v>
      </c>
      <c r="C38" s="33">
        <v>16.760000000000002</v>
      </c>
      <c r="D38" s="33">
        <v>17.22</v>
      </c>
      <c r="E38" s="32">
        <v>41867.390277777777</v>
      </c>
      <c r="F38" s="37">
        <v>6.07</v>
      </c>
      <c r="G38" s="23" t="s">
        <v>60</v>
      </c>
      <c r="H38" s="39">
        <v>7220</v>
      </c>
      <c r="I38" s="6" t="s">
        <v>85</v>
      </c>
      <c r="J38" s="40">
        <v>0.15</v>
      </c>
      <c r="K38" s="6" t="s">
        <v>85</v>
      </c>
      <c r="L38" s="39">
        <v>285000</v>
      </c>
      <c r="M38" s="6" t="s">
        <v>85</v>
      </c>
      <c r="N38" s="43">
        <v>864.48719377650855</v>
      </c>
      <c r="O38" s="50">
        <v>17</v>
      </c>
      <c r="P38" s="6" t="s">
        <v>85</v>
      </c>
      <c r="Q38" s="30">
        <v>170</v>
      </c>
      <c r="R38" s="30" t="s">
        <v>63</v>
      </c>
      <c r="S38" s="25" t="s">
        <v>85</v>
      </c>
      <c r="T38" s="33">
        <f t="shared" si="2"/>
        <v>0.19664837284327571</v>
      </c>
    </row>
    <row r="39" spans="1:20" x14ac:dyDescent="0.25">
      <c r="A39" s="20" t="s">
        <v>49</v>
      </c>
      <c r="B39" s="30" t="s">
        <v>18</v>
      </c>
      <c r="C39" s="33">
        <v>19.809999999999999</v>
      </c>
      <c r="D39" s="33">
        <v>20.27</v>
      </c>
      <c r="E39" s="32">
        <v>41867.541666666664</v>
      </c>
      <c r="F39" s="37"/>
      <c r="G39" s="23" t="s">
        <v>85</v>
      </c>
      <c r="H39" s="39" t="s">
        <v>63</v>
      </c>
      <c r="I39" s="6" t="s">
        <v>85</v>
      </c>
      <c r="J39" s="40" t="s">
        <v>63</v>
      </c>
      <c r="K39" s="6" t="s">
        <v>85</v>
      </c>
      <c r="L39" s="39">
        <v>57000</v>
      </c>
      <c r="M39" s="6" t="s">
        <v>85</v>
      </c>
      <c r="N39" s="44">
        <f>L39*31.25/10000</f>
        <v>178.125</v>
      </c>
      <c r="O39" s="50">
        <v>17</v>
      </c>
      <c r="P39" s="6" t="s">
        <v>85</v>
      </c>
      <c r="Q39" s="30">
        <v>170</v>
      </c>
      <c r="R39" s="30" t="s">
        <v>63</v>
      </c>
      <c r="S39" s="25" t="s">
        <v>85</v>
      </c>
      <c r="T39" s="33">
        <f t="shared" si="2"/>
        <v>0.95438596491228067</v>
      </c>
    </row>
    <row r="40" spans="1:20" x14ac:dyDescent="0.25">
      <c r="A40" s="20" t="s">
        <v>50</v>
      </c>
      <c r="B40" s="30" t="s">
        <v>18</v>
      </c>
      <c r="C40" s="33">
        <v>19.809999999999999</v>
      </c>
      <c r="D40" s="33">
        <v>20.27</v>
      </c>
      <c r="E40" s="32">
        <v>41867.541666666664</v>
      </c>
      <c r="F40" s="37">
        <v>5.01</v>
      </c>
      <c r="G40" s="23" t="s">
        <v>60</v>
      </c>
      <c r="H40" s="39" t="s">
        <v>63</v>
      </c>
      <c r="I40" s="6" t="s">
        <v>85</v>
      </c>
      <c r="J40" s="40" t="s">
        <v>63</v>
      </c>
      <c r="K40" s="6" t="s">
        <v>85</v>
      </c>
      <c r="L40" s="39">
        <v>226000</v>
      </c>
      <c r="M40" s="6" t="s">
        <v>85</v>
      </c>
      <c r="N40" s="44">
        <f t="shared" ref="N40:N45" si="4">L40*31.25/10000</f>
        <v>706.25</v>
      </c>
      <c r="O40" s="50">
        <v>22</v>
      </c>
      <c r="P40" s="6" t="s">
        <v>85</v>
      </c>
      <c r="Q40" s="30">
        <v>220</v>
      </c>
      <c r="R40" s="30" t="s">
        <v>63</v>
      </c>
      <c r="S40" s="25" t="s">
        <v>85</v>
      </c>
      <c r="T40" s="33">
        <f t="shared" si="2"/>
        <v>0.31150442477876106</v>
      </c>
    </row>
    <row r="41" spans="1:20" x14ac:dyDescent="0.25">
      <c r="A41" s="20" t="s">
        <v>51</v>
      </c>
      <c r="B41" s="30" t="s">
        <v>18</v>
      </c>
      <c r="C41" s="33">
        <v>3.05</v>
      </c>
      <c r="D41" s="33">
        <v>3.51</v>
      </c>
      <c r="E41" s="32">
        <v>41864.686805555553</v>
      </c>
      <c r="F41" s="37" t="s">
        <v>63</v>
      </c>
      <c r="G41" s="23" t="s">
        <v>85</v>
      </c>
      <c r="H41" s="39" t="s">
        <v>63</v>
      </c>
      <c r="I41" s="6" t="s">
        <v>85</v>
      </c>
      <c r="J41" s="40" t="s">
        <v>63</v>
      </c>
      <c r="K41" s="6" t="s">
        <v>85</v>
      </c>
      <c r="L41" s="39">
        <v>14200</v>
      </c>
      <c r="M41" s="6" t="s">
        <v>85</v>
      </c>
      <c r="N41" s="46">
        <f t="shared" si="4"/>
        <v>44.375</v>
      </c>
      <c r="O41" s="50" t="s">
        <v>63</v>
      </c>
      <c r="P41" s="6" t="s">
        <v>85</v>
      </c>
      <c r="Q41" s="30" t="s">
        <v>86</v>
      </c>
      <c r="R41" s="30" t="s">
        <v>63</v>
      </c>
      <c r="S41" s="25" t="s">
        <v>85</v>
      </c>
      <c r="T41" s="33" t="s">
        <v>86</v>
      </c>
    </row>
    <row r="42" spans="1:20" x14ac:dyDescent="0.25">
      <c r="A42" s="20" t="s">
        <v>52</v>
      </c>
      <c r="B42" s="30" t="s">
        <v>18</v>
      </c>
      <c r="C42" s="33">
        <v>4.57</v>
      </c>
      <c r="D42" s="33">
        <v>5.03</v>
      </c>
      <c r="E42" s="32">
        <v>41864.413194444445</v>
      </c>
      <c r="F42" s="37" t="s">
        <v>63</v>
      </c>
      <c r="G42" s="23" t="s">
        <v>85</v>
      </c>
      <c r="H42" s="39" t="s">
        <v>63</v>
      </c>
      <c r="I42" s="6" t="s">
        <v>85</v>
      </c>
      <c r="J42" s="40" t="s">
        <v>63</v>
      </c>
      <c r="K42" s="6" t="s">
        <v>85</v>
      </c>
      <c r="L42" s="39">
        <v>324000</v>
      </c>
      <c r="M42" s="6" t="s">
        <v>85</v>
      </c>
      <c r="N42" s="47">
        <f t="shared" si="4"/>
        <v>1012.5</v>
      </c>
      <c r="O42" s="50">
        <v>24</v>
      </c>
      <c r="P42" s="6" t="s">
        <v>85</v>
      </c>
      <c r="Q42" s="30">
        <v>240</v>
      </c>
      <c r="R42" s="30" t="s">
        <v>63</v>
      </c>
      <c r="S42" s="25" t="s">
        <v>85</v>
      </c>
      <c r="T42" s="33">
        <f>IF(ISNUMBER(Q42),Q42/N42,"")</f>
        <v>0.23703703703703705</v>
      </c>
    </row>
    <row r="43" spans="1:20" x14ac:dyDescent="0.25">
      <c r="A43" s="20" t="s">
        <v>53</v>
      </c>
      <c r="B43" s="30" t="s">
        <v>18</v>
      </c>
      <c r="C43" s="33">
        <v>6.1</v>
      </c>
      <c r="D43" s="33">
        <v>6.55</v>
      </c>
      <c r="E43" s="32">
        <v>41864.440972222219</v>
      </c>
      <c r="F43" s="37" t="s">
        <v>63</v>
      </c>
      <c r="G43" s="23" t="s">
        <v>85</v>
      </c>
      <c r="H43" s="39" t="s">
        <v>63</v>
      </c>
      <c r="I43" s="6" t="s">
        <v>85</v>
      </c>
      <c r="J43" s="40" t="s">
        <v>63</v>
      </c>
      <c r="K43" s="6" t="s">
        <v>85</v>
      </c>
      <c r="L43" s="39">
        <v>29700</v>
      </c>
      <c r="M43" s="6" t="s">
        <v>85</v>
      </c>
      <c r="N43" s="46">
        <f t="shared" si="4"/>
        <v>92.8125</v>
      </c>
      <c r="O43" s="50">
        <v>32</v>
      </c>
      <c r="P43" s="6" t="s">
        <v>85</v>
      </c>
      <c r="Q43" s="30">
        <v>320</v>
      </c>
      <c r="R43" s="30" t="s">
        <v>63</v>
      </c>
      <c r="S43" s="25" t="s">
        <v>85</v>
      </c>
      <c r="T43" s="33">
        <f>IF(ISNUMBER(Q43),Q43/N43,"")</f>
        <v>3.4478114478114477</v>
      </c>
    </row>
    <row r="44" spans="1:20" x14ac:dyDescent="0.25">
      <c r="A44" s="20" t="s">
        <v>54</v>
      </c>
      <c r="B44" s="30" t="s">
        <v>18</v>
      </c>
      <c r="C44" s="31">
        <v>0</v>
      </c>
      <c r="D44" s="33">
        <v>0.46</v>
      </c>
      <c r="E44" s="32">
        <v>41862.416666666664</v>
      </c>
      <c r="F44" s="37" t="s">
        <v>63</v>
      </c>
      <c r="G44" s="23" t="s">
        <v>85</v>
      </c>
      <c r="H44" s="39" t="s">
        <v>63</v>
      </c>
      <c r="I44" s="6" t="s">
        <v>85</v>
      </c>
      <c r="J44" s="40" t="s">
        <v>63</v>
      </c>
      <c r="K44" s="6" t="s">
        <v>85</v>
      </c>
      <c r="L44" s="39">
        <v>250000</v>
      </c>
      <c r="M44" s="6" t="s">
        <v>85</v>
      </c>
      <c r="N44" s="44">
        <f t="shared" si="4"/>
        <v>781.25</v>
      </c>
      <c r="O44" s="50" t="s">
        <v>63</v>
      </c>
      <c r="P44" s="6" t="s">
        <v>85</v>
      </c>
      <c r="Q44" s="30" t="s">
        <v>86</v>
      </c>
      <c r="R44" s="30" t="s">
        <v>63</v>
      </c>
      <c r="S44" s="25" t="s">
        <v>85</v>
      </c>
      <c r="T44" s="33" t="s">
        <v>86</v>
      </c>
    </row>
    <row r="45" spans="1:20" x14ac:dyDescent="0.25">
      <c r="A45" s="20" t="s">
        <v>55</v>
      </c>
      <c r="B45" s="30" t="s">
        <v>18</v>
      </c>
      <c r="C45" s="33">
        <v>5.18</v>
      </c>
      <c r="D45" s="33">
        <v>5.64</v>
      </c>
      <c r="E45" s="32">
        <v>41862.520833333336</v>
      </c>
      <c r="F45" s="37" t="s">
        <v>63</v>
      </c>
      <c r="G45" s="23" t="s">
        <v>85</v>
      </c>
      <c r="H45" s="39" t="s">
        <v>63</v>
      </c>
      <c r="I45" s="6" t="s">
        <v>85</v>
      </c>
      <c r="J45" s="40" t="s">
        <v>63</v>
      </c>
      <c r="K45" s="6" t="s">
        <v>85</v>
      </c>
      <c r="L45" s="39">
        <v>39900</v>
      </c>
      <c r="M45" s="6" t="s">
        <v>85</v>
      </c>
      <c r="N45" s="44">
        <f t="shared" si="4"/>
        <v>124.6875</v>
      </c>
      <c r="O45" s="50" t="s">
        <v>63</v>
      </c>
      <c r="P45" s="6" t="s">
        <v>85</v>
      </c>
      <c r="Q45" s="30" t="s">
        <v>86</v>
      </c>
      <c r="R45" s="30" t="s">
        <v>63</v>
      </c>
      <c r="S45" s="25" t="s">
        <v>85</v>
      </c>
      <c r="T45" s="33" t="s">
        <v>86</v>
      </c>
    </row>
    <row r="46" spans="1:20" x14ac:dyDescent="0.25">
      <c r="A46" s="20" t="s">
        <v>56</v>
      </c>
      <c r="B46" s="30" t="s">
        <v>18</v>
      </c>
      <c r="C46" s="33">
        <v>5.72</v>
      </c>
      <c r="D46" s="33">
        <v>7.01</v>
      </c>
      <c r="E46" s="32">
        <v>42322.479166666664</v>
      </c>
      <c r="F46" s="37">
        <v>7.82</v>
      </c>
      <c r="G46" s="23" t="s">
        <v>85</v>
      </c>
      <c r="H46" s="40" t="s">
        <v>63</v>
      </c>
      <c r="I46" s="6" t="s">
        <v>85</v>
      </c>
      <c r="J46" s="40" t="s">
        <v>63</v>
      </c>
      <c r="K46" s="6" t="s">
        <v>85</v>
      </c>
      <c r="L46" s="39">
        <v>600</v>
      </c>
      <c r="M46" s="6" t="s">
        <v>85</v>
      </c>
      <c r="N46" s="48">
        <f>L46*31.25/10000</f>
        <v>1.875</v>
      </c>
      <c r="O46" s="50">
        <v>67</v>
      </c>
      <c r="P46" s="6" t="s">
        <v>85</v>
      </c>
      <c r="Q46" s="52">
        <f>O46*10</f>
        <v>670</v>
      </c>
      <c r="R46" s="30" t="s">
        <v>63</v>
      </c>
      <c r="S46" s="25" t="s">
        <v>85</v>
      </c>
      <c r="T46" s="43">
        <f t="shared" ref="T46:T49" si="5">IF(ISNUMBER(Q46),Q46/N46,"")</f>
        <v>357.33333333333331</v>
      </c>
    </row>
    <row r="47" spans="1:20" x14ac:dyDescent="0.25">
      <c r="A47" s="20" t="s">
        <v>57</v>
      </c>
      <c r="B47" s="30" t="s">
        <v>18</v>
      </c>
      <c r="C47" s="33">
        <v>10.24</v>
      </c>
      <c r="D47" s="33">
        <v>11.58</v>
      </c>
      <c r="E47" s="32">
        <v>42322.579861111109</v>
      </c>
      <c r="F47" s="37">
        <v>7.94</v>
      </c>
      <c r="G47" s="23" t="s">
        <v>85</v>
      </c>
      <c r="H47" s="40" t="s">
        <v>63</v>
      </c>
      <c r="I47" s="6" t="s">
        <v>85</v>
      </c>
      <c r="J47" s="40" t="s">
        <v>63</v>
      </c>
      <c r="K47" s="6" t="s">
        <v>85</v>
      </c>
      <c r="L47" s="39">
        <v>1200</v>
      </c>
      <c r="M47" s="6" t="s">
        <v>85</v>
      </c>
      <c r="N47" s="48">
        <f>L47*31.25/10000</f>
        <v>3.75</v>
      </c>
      <c r="O47" s="50">
        <v>57</v>
      </c>
      <c r="P47" s="6" t="s">
        <v>85</v>
      </c>
      <c r="Q47" s="52">
        <f>O47*10</f>
        <v>570</v>
      </c>
      <c r="R47" s="30" t="s">
        <v>63</v>
      </c>
      <c r="S47" s="25" t="s">
        <v>85</v>
      </c>
      <c r="T47" s="43">
        <f t="shared" si="5"/>
        <v>152</v>
      </c>
    </row>
    <row r="48" spans="1:20" x14ac:dyDescent="0.25">
      <c r="A48" s="20" t="s">
        <v>58</v>
      </c>
      <c r="B48" s="30" t="s">
        <v>18</v>
      </c>
      <c r="C48" s="31">
        <v>19.2</v>
      </c>
      <c r="D48" s="33">
        <v>20.73</v>
      </c>
      <c r="E48" s="32">
        <v>42323.517361111109</v>
      </c>
      <c r="F48" s="37">
        <v>8.0299999999999994</v>
      </c>
      <c r="G48" s="23" t="s">
        <v>85</v>
      </c>
      <c r="H48" s="40" t="s">
        <v>63</v>
      </c>
      <c r="I48" s="6" t="s">
        <v>85</v>
      </c>
      <c r="J48" s="40" t="s">
        <v>63</v>
      </c>
      <c r="K48" s="6" t="s">
        <v>85</v>
      </c>
      <c r="L48" s="39">
        <v>600</v>
      </c>
      <c r="M48" s="6" t="s">
        <v>85</v>
      </c>
      <c r="N48" s="48">
        <f>L48*31.25/10000</f>
        <v>1.875</v>
      </c>
      <c r="O48" s="50">
        <v>108</v>
      </c>
      <c r="P48" s="6" t="s">
        <v>85</v>
      </c>
      <c r="Q48" s="52">
        <f>O48*10</f>
        <v>1080</v>
      </c>
      <c r="R48" s="30" t="s">
        <v>63</v>
      </c>
      <c r="S48" s="25" t="s">
        <v>85</v>
      </c>
      <c r="T48" s="43">
        <f t="shared" si="5"/>
        <v>576</v>
      </c>
    </row>
    <row r="49" spans="1:20" x14ac:dyDescent="0.25">
      <c r="A49" s="21" t="s">
        <v>59</v>
      </c>
      <c r="B49" s="34" t="s">
        <v>18</v>
      </c>
      <c r="C49" s="35">
        <v>19.2</v>
      </c>
      <c r="D49" s="35">
        <v>20.73</v>
      </c>
      <c r="E49" s="36">
        <v>42323.517361111109</v>
      </c>
      <c r="F49" s="38">
        <v>8</v>
      </c>
      <c r="G49" s="24" t="s">
        <v>85</v>
      </c>
      <c r="H49" s="41" t="s">
        <v>63</v>
      </c>
      <c r="I49" s="17" t="s">
        <v>85</v>
      </c>
      <c r="J49" s="41" t="s">
        <v>63</v>
      </c>
      <c r="K49" s="17" t="s">
        <v>85</v>
      </c>
      <c r="L49" s="42">
        <v>700</v>
      </c>
      <c r="M49" s="17" t="s">
        <v>85</v>
      </c>
      <c r="N49" s="49">
        <f>L49*31.25/10000</f>
        <v>2.1875</v>
      </c>
      <c r="O49" s="51">
        <v>103</v>
      </c>
      <c r="P49" s="17" t="s">
        <v>85</v>
      </c>
      <c r="Q49" s="53">
        <f>O49*10</f>
        <v>1030</v>
      </c>
      <c r="R49" s="34" t="s">
        <v>63</v>
      </c>
      <c r="S49" s="26" t="s">
        <v>85</v>
      </c>
      <c r="T49" s="54">
        <f t="shared" si="5"/>
        <v>470.85714285714283</v>
      </c>
    </row>
    <row r="51" spans="1:20" x14ac:dyDescent="0.25">
      <c r="A51" s="3" t="s">
        <v>64</v>
      </c>
    </row>
    <row r="52" spans="1:20" s="57" customFormat="1" ht="13.5" customHeight="1" x14ac:dyDescent="0.3">
      <c r="A52" s="55" t="s">
        <v>65</v>
      </c>
      <c r="B52" s="56"/>
      <c r="C52" s="56"/>
      <c r="D52" s="56"/>
      <c r="E52" s="56"/>
    </row>
    <row r="53" spans="1:20" s="57" customFormat="1" ht="13.5" customHeight="1" x14ac:dyDescent="0.3">
      <c r="A53" s="55" t="s">
        <v>89</v>
      </c>
      <c r="B53" s="56"/>
      <c r="C53" s="56"/>
      <c r="D53" s="56"/>
      <c r="E53" s="56"/>
    </row>
    <row r="54" spans="1:20" s="57" customFormat="1" ht="13.5" customHeight="1" x14ac:dyDescent="0.3">
      <c r="A54" s="55" t="s">
        <v>90</v>
      </c>
      <c r="B54" s="56"/>
      <c r="C54" s="56"/>
      <c r="D54" s="56"/>
      <c r="E54" s="56"/>
    </row>
    <row r="55" spans="1:20" s="57" customFormat="1" ht="13.5" customHeight="1" x14ac:dyDescent="0.3">
      <c r="A55" s="55" t="s">
        <v>91</v>
      </c>
      <c r="B55" s="56"/>
      <c r="C55" s="56"/>
      <c r="D55" s="56"/>
      <c r="E55" s="56"/>
    </row>
    <row r="56" spans="1:20" s="57" customFormat="1" ht="13.5" customHeight="1" x14ac:dyDescent="0.3">
      <c r="A56" s="58" t="s">
        <v>92</v>
      </c>
      <c r="B56" s="56"/>
      <c r="C56" s="56"/>
      <c r="D56" s="56"/>
      <c r="E56" s="56"/>
    </row>
    <row r="57" spans="1:20" ht="6" customHeight="1" x14ac:dyDescent="0.25">
      <c r="A57" s="11"/>
    </row>
    <row r="58" spans="1:20" ht="14.4" x14ac:dyDescent="0.35">
      <c r="A58" s="3" t="s">
        <v>103</v>
      </c>
    </row>
    <row r="59" spans="1:20" x14ac:dyDescent="0.25">
      <c r="A59" s="3" t="s">
        <v>93</v>
      </c>
    </row>
    <row r="60" spans="1:20" x14ac:dyDescent="0.25">
      <c r="A60" s="11" t="s">
        <v>94</v>
      </c>
    </row>
    <row r="61" spans="1:20" x14ac:dyDescent="0.25">
      <c r="A61" s="11" t="s">
        <v>95</v>
      </c>
    </row>
    <row r="62" spans="1:20" x14ac:dyDescent="0.25">
      <c r="A62" s="11" t="s">
        <v>117</v>
      </c>
    </row>
    <row r="63" spans="1:20" x14ac:dyDescent="0.25">
      <c r="A63" s="1" t="s">
        <v>66</v>
      </c>
    </row>
    <row r="64" spans="1:20" x14ac:dyDescent="0.25">
      <c r="A64" s="3" t="s">
        <v>67</v>
      </c>
    </row>
    <row r="65" spans="1:1" x14ac:dyDescent="0.25">
      <c r="A65" s="3" t="s">
        <v>96</v>
      </c>
    </row>
    <row r="66" spans="1:1" x14ac:dyDescent="0.25">
      <c r="A66" s="3" t="s">
        <v>97</v>
      </c>
    </row>
    <row r="67" spans="1:1" x14ac:dyDescent="0.25">
      <c r="A67" s="3" t="s">
        <v>68</v>
      </c>
    </row>
    <row r="68" spans="1:1" x14ac:dyDescent="0.25">
      <c r="A68" s="3" t="s">
        <v>98</v>
      </c>
    </row>
    <row r="69" spans="1:1" x14ac:dyDescent="0.25">
      <c r="A69" s="3" t="s">
        <v>69</v>
      </c>
    </row>
    <row r="70" spans="1:1" x14ac:dyDescent="0.25">
      <c r="A70" s="3" t="s">
        <v>106</v>
      </c>
    </row>
    <row r="71" spans="1:1" x14ac:dyDescent="0.25">
      <c r="A71" s="11" t="s">
        <v>99</v>
      </c>
    </row>
  </sheetData>
  <mergeCells count="15">
    <mergeCell ref="A1:E1"/>
    <mergeCell ref="A4:A6"/>
    <mergeCell ref="B4:B6"/>
    <mergeCell ref="C4:C6"/>
    <mergeCell ref="D4:D6"/>
    <mergeCell ref="E4:E6"/>
    <mergeCell ref="F4:G5"/>
    <mergeCell ref="H4:N4"/>
    <mergeCell ref="O4:S4"/>
    <mergeCell ref="T4:T6"/>
    <mergeCell ref="H5:I5"/>
    <mergeCell ref="J5:K5"/>
    <mergeCell ref="L5:M5"/>
    <mergeCell ref="O5:P5"/>
    <mergeCell ref="R5:S5"/>
  </mergeCells>
  <pageMargins left="0.7" right="0.7" top="0.75" bottom="0.75" header="0.3" footer="0.3"/>
  <pageSetup paperSize="3" orientation="landscape" horizontalDpi="1200" verticalDpi="1200" r:id="rId1"/>
  <headerFooter>
    <oddFooter>&amp;L&amp;8ES10201112383RDD&amp;R&amp;8&amp;P OF &amp;N</oddFooter>
  </headerFooter>
  <rowBreaks count="1" manualBreakCount="1">
    <brk id="49" max="16383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view="pageBreakPreview" zoomScale="115" zoomScaleNormal="100" zoomScaleSheetLayoutView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9.109375" defaultRowHeight="12" x14ac:dyDescent="0.25"/>
  <cols>
    <col min="1" max="1" width="21.109375" style="5" customWidth="1"/>
    <col min="2" max="2" width="12.33203125" style="5" customWidth="1"/>
    <col min="3" max="5" width="13.6640625" style="5" customWidth="1"/>
    <col min="6" max="9" width="10.5546875" style="5" customWidth="1"/>
    <col min="10" max="10" width="15.88671875" style="5" customWidth="1"/>
    <col min="11" max="11" width="13.44140625" style="5" customWidth="1"/>
    <col min="12" max="16384" width="9.109375" style="5"/>
  </cols>
  <sheetData>
    <row r="1" spans="1:10" s="12" customFormat="1" ht="13.8" x14ac:dyDescent="0.3">
      <c r="A1" s="212" t="s">
        <v>600</v>
      </c>
      <c r="B1" s="271"/>
      <c r="C1" s="271"/>
      <c r="D1" s="271"/>
      <c r="E1" s="271"/>
    </row>
    <row r="2" spans="1:10" s="12" customFormat="1" ht="15" customHeight="1" x14ac:dyDescent="0.3">
      <c r="A2" s="272" t="s">
        <v>0</v>
      </c>
      <c r="B2" s="271"/>
      <c r="C2" s="271"/>
      <c r="D2" s="271"/>
      <c r="E2" s="271"/>
    </row>
    <row r="3" spans="1:10" ht="23.25" customHeight="1" x14ac:dyDescent="0.25">
      <c r="A3" s="273"/>
      <c r="B3" s="275" t="s">
        <v>143</v>
      </c>
      <c r="C3" s="276" t="s">
        <v>134</v>
      </c>
      <c r="D3" s="276" t="s">
        <v>142</v>
      </c>
      <c r="E3" s="276" t="s">
        <v>318</v>
      </c>
      <c r="F3" s="276" t="s">
        <v>172</v>
      </c>
      <c r="G3" s="276" t="s">
        <v>172</v>
      </c>
      <c r="H3" s="276" t="s">
        <v>284</v>
      </c>
      <c r="I3" s="276" t="s">
        <v>283</v>
      </c>
      <c r="J3" s="277" t="s">
        <v>534</v>
      </c>
    </row>
    <row r="4" spans="1:10" s="137" customFormat="1" ht="14.1" customHeight="1" x14ac:dyDescent="0.3">
      <c r="A4" s="229"/>
      <c r="B4" s="278" t="s">
        <v>304</v>
      </c>
      <c r="C4" s="279" t="s">
        <v>126</v>
      </c>
      <c r="D4" s="279" t="s">
        <v>141</v>
      </c>
      <c r="E4" s="279" t="s">
        <v>135</v>
      </c>
      <c r="F4" s="279" t="s">
        <v>172</v>
      </c>
      <c r="G4" s="279" t="s">
        <v>172</v>
      </c>
      <c r="H4" s="279" t="s">
        <v>284</v>
      </c>
      <c r="I4" s="279" t="s">
        <v>283</v>
      </c>
      <c r="J4" s="280" t="s">
        <v>126</v>
      </c>
    </row>
    <row r="5" spans="1:10" s="137" customFormat="1" ht="14.1" customHeight="1" x14ac:dyDescent="0.3">
      <c r="A5" s="229"/>
      <c r="B5" s="281" t="s">
        <v>250</v>
      </c>
      <c r="C5" s="282">
        <v>42523</v>
      </c>
      <c r="D5" s="282">
        <v>42523</v>
      </c>
      <c r="E5" s="282">
        <v>42528</v>
      </c>
      <c r="F5" s="283">
        <v>42525.55972222222</v>
      </c>
      <c r="G5" s="283">
        <v>42525.535416666666</v>
      </c>
      <c r="H5" s="283">
        <v>42525.47152777778</v>
      </c>
      <c r="I5" s="283">
        <v>42525.506249999999</v>
      </c>
      <c r="J5" s="284">
        <v>42523.65902777778</v>
      </c>
    </row>
    <row r="6" spans="1:10" s="137" customFormat="1" ht="14.1" customHeight="1" x14ac:dyDescent="0.3">
      <c r="A6" s="237" t="s">
        <v>305</v>
      </c>
      <c r="B6" s="274" t="s">
        <v>3</v>
      </c>
      <c r="C6" s="144"/>
      <c r="D6" s="144"/>
      <c r="E6" s="144"/>
      <c r="F6" s="256"/>
      <c r="G6" s="256"/>
      <c r="H6" s="256"/>
      <c r="I6" s="256"/>
      <c r="J6" s="256"/>
    </row>
    <row r="7" spans="1:10" s="137" customFormat="1" ht="14.1" customHeight="1" x14ac:dyDescent="0.3">
      <c r="A7" s="256" t="s">
        <v>306</v>
      </c>
      <c r="B7" s="286" t="s">
        <v>307</v>
      </c>
      <c r="C7" s="285">
        <v>0.18099999999999999</v>
      </c>
      <c r="D7" s="285">
        <v>0.13900000000000001</v>
      </c>
      <c r="E7" s="285">
        <v>0.247</v>
      </c>
      <c r="F7" s="285">
        <v>2.4E-2</v>
      </c>
      <c r="G7" s="285">
        <v>2.4E-2</v>
      </c>
      <c r="H7" s="285">
        <v>2.4E-2</v>
      </c>
      <c r="I7" s="285">
        <v>2.4E-2</v>
      </c>
      <c r="J7" s="287">
        <v>0.128</v>
      </c>
    </row>
    <row r="8" spans="1:10" s="137" customFormat="1" ht="14.1" customHeight="1" x14ac:dyDescent="0.3">
      <c r="A8" s="256" t="s">
        <v>308</v>
      </c>
      <c r="B8" s="286" t="s">
        <v>551</v>
      </c>
      <c r="C8" s="285">
        <v>9.44</v>
      </c>
      <c r="D8" s="285">
        <v>6.01</v>
      </c>
      <c r="E8" s="285">
        <v>6.03</v>
      </c>
      <c r="F8" s="285">
        <v>10.91</v>
      </c>
      <c r="G8" s="285">
        <v>10.9</v>
      </c>
      <c r="H8" s="285">
        <v>11.2</v>
      </c>
      <c r="I8" s="285">
        <v>10.98</v>
      </c>
      <c r="J8" s="287">
        <v>7.89</v>
      </c>
    </row>
    <row r="9" spans="1:10" s="137" customFormat="1" ht="14.1" customHeight="1" x14ac:dyDescent="0.3">
      <c r="A9" s="256" t="s">
        <v>310</v>
      </c>
      <c r="B9" s="286" t="s">
        <v>311</v>
      </c>
      <c r="C9" s="285">
        <v>173.6</v>
      </c>
      <c r="D9" s="285">
        <v>130.6</v>
      </c>
      <c r="E9" s="285">
        <v>95.7</v>
      </c>
      <c r="F9" s="285">
        <v>110.6</v>
      </c>
      <c r="G9" s="285">
        <v>140</v>
      </c>
      <c r="H9" s="285">
        <v>88.5</v>
      </c>
      <c r="I9" s="285">
        <v>102.8</v>
      </c>
      <c r="J9" s="287">
        <v>138.69999999999999</v>
      </c>
    </row>
    <row r="10" spans="1:10" s="137" customFormat="1" ht="14.1" customHeight="1" x14ac:dyDescent="0.3">
      <c r="A10" s="256" t="s">
        <v>312</v>
      </c>
      <c r="B10" s="286" t="s">
        <v>313</v>
      </c>
      <c r="C10" s="285">
        <v>7.19</v>
      </c>
      <c r="D10" s="285">
        <v>6.5</v>
      </c>
      <c r="E10" s="285">
        <v>7.1</v>
      </c>
      <c r="F10" s="285">
        <v>7.11</v>
      </c>
      <c r="G10" s="285">
        <v>7.11</v>
      </c>
      <c r="H10" s="285">
        <v>7.21</v>
      </c>
      <c r="I10" s="285">
        <v>7.16</v>
      </c>
      <c r="J10" s="287">
        <v>7.89</v>
      </c>
    </row>
    <row r="11" spans="1:10" s="137" customFormat="1" ht="14.1" customHeight="1" x14ac:dyDescent="0.3">
      <c r="A11" s="256" t="s">
        <v>314</v>
      </c>
      <c r="B11" s="286" t="s">
        <v>315</v>
      </c>
      <c r="C11" s="285">
        <v>3.65</v>
      </c>
      <c r="D11" s="285">
        <v>2.96</v>
      </c>
      <c r="E11" s="285">
        <v>3.6</v>
      </c>
      <c r="F11" s="285">
        <v>4.83</v>
      </c>
      <c r="G11" s="285">
        <v>4.7699999999999996</v>
      </c>
      <c r="H11" s="285">
        <v>4.49</v>
      </c>
      <c r="I11" s="285">
        <v>4.95</v>
      </c>
      <c r="J11" s="287">
        <v>12.79</v>
      </c>
    </row>
    <row r="12" spans="1:10" s="137" customFormat="1" ht="14.1" customHeight="1" x14ac:dyDescent="0.3">
      <c r="A12" s="256" t="s">
        <v>316</v>
      </c>
      <c r="B12" s="286" t="s">
        <v>317</v>
      </c>
      <c r="C12" s="285">
        <v>18.2</v>
      </c>
      <c r="D12" s="285">
        <v>130</v>
      </c>
      <c r="E12" s="285">
        <v>18.8</v>
      </c>
      <c r="F12" s="285">
        <v>-0.2</v>
      </c>
      <c r="G12" s="285">
        <v>-0.2</v>
      </c>
      <c r="H12" s="285">
        <v>-0.3</v>
      </c>
      <c r="I12" s="285">
        <v>-0.3</v>
      </c>
      <c r="J12" s="287">
        <v>3.1</v>
      </c>
    </row>
    <row r="13" spans="1:10" ht="6.75" customHeight="1" x14ac:dyDescent="0.25"/>
    <row r="14" spans="1:10" x14ac:dyDescent="0.25">
      <c r="A14" s="5" t="s">
        <v>64</v>
      </c>
    </row>
    <row r="15" spans="1:10" x14ac:dyDescent="0.25">
      <c r="A15" s="217" t="s">
        <v>557</v>
      </c>
    </row>
    <row r="16" spans="1:10" x14ac:dyDescent="0.25">
      <c r="A16" s="5" t="s">
        <v>558</v>
      </c>
    </row>
    <row r="17" spans="1:1" x14ac:dyDescent="0.25">
      <c r="A17" s="5" t="s">
        <v>553</v>
      </c>
    </row>
    <row r="18" spans="1:1" x14ac:dyDescent="0.25">
      <c r="A18" s="217" t="s">
        <v>554</v>
      </c>
    </row>
    <row r="19" spans="1:1" x14ac:dyDescent="0.25">
      <c r="A19" s="217" t="s">
        <v>555</v>
      </c>
    </row>
    <row r="20" spans="1:1" x14ac:dyDescent="0.25">
      <c r="A20" s="217" t="s">
        <v>556</v>
      </c>
    </row>
    <row r="21" spans="1:1" x14ac:dyDescent="0.25">
      <c r="A21" s="5" t="s">
        <v>372</v>
      </c>
    </row>
  </sheetData>
  <pageMargins left="0.7" right="0.7" top="0.75" bottom="0.75" header="0.3" footer="0.3"/>
  <pageSetup scale="90" orientation="landscape" horizontalDpi="1200" verticalDpi="1200" r:id="rId1"/>
  <headerFooter>
    <oddFooter>&amp;L&amp;8ES102011123831RDD&amp;R&amp;8&amp;P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view="pageBreakPreview" zoomScaleNormal="70" zoomScaleSheetLayoutView="100" workbookViewId="0">
      <pane xSplit="1" ySplit="6" topLeftCell="B72" activePane="bottomRight" state="frozen"/>
      <selection pane="topRight" activeCell="B1" sqref="B1"/>
      <selection pane="bottomLeft" activeCell="A7" sqref="A7"/>
      <selection pane="bottomRight" activeCell="A87" sqref="A87:F87"/>
    </sheetView>
  </sheetViews>
  <sheetFormatPr defaultColWidth="9.109375" defaultRowHeight="12" x14ac:dyDescent="0.25"/>
  <cols>
    <col min="1" max="1" width="31.5546875" style="5" customWidth="1"/>
    <col min="2" max="2" width="9.109375" style="4"/>
    <col min="3" max="3" width="13.6640625" style="4" customWidth="1"/>
    <col min="4" max="4" width="14" style="4" customWidth="1"/>
    <col min="5" max="5" width="14.33203125" style="4" customWidth="1"/>
    <col min="6" max="6" width="13.88671875" style="4" customWidth="1"/>
    <col min="7" max="7" width="11.88671875" style="4" customWidth="1"/>
    <col min="8" max="10" width="19" style="4" customWidth="1"/>
    <col min="11" max="11" width="24.33203125" style="5" customWidth="1"/>
    <col min="12" max="12" width="31.88671875" style="5" customWidth="1"/>
    <col min="13" max="16384" width="9.109375" style="5"/>
  </cols>
  <sheetData>
    <row r="1" spans="1:16" s="12" customFormat="1" ht="13.8" x14ac:dyDescent="0.3">
      <c r="A1" s="212" t="s">
        <v>601</v>
      </c>
      <c r="B1" s="271"/>
      <c r="C1" s="271"/>
      <c r="D1" s="271"/>
      <c r="E1" s="271"/>
      <c r="F1" s="271"/>
      <c r="G1" s="271"/>
      <c r="H1" s="271"/>
      <c r="I1" s="271"/>
      <c r="J1" s="271"/>
      <c r="K1" s="295" t="s">
        <v>525</v>
      </c>
      <c r="L1" s="12" t="s">
        <v>524</v>
      </c>
    </row>
    <row r="2" spans="1:16" s="12" customFormat="1" ht="13.8" x14ac:dyDescent="0.3">
      <c r="A2" s="16" t="s">
        <v>0</v>
      </c>
      <c r="B2" s="271"/>
      <c r="C2" s="271"/>
      <c r="D2" s="271"/>
      <c r="E2" s="271"/>
      <c r="F2" s="271"/>
      <c r="G2" s="271"/>
      <c r="H2" s="271"/>
      <c r="I2" s="271"/>
      <c r="J2" s="271"/>
    </row>
    <row r="3" spans="1:16" s="229" customFormat="1" ht="14.25" customHeight="1" x14ac:dyDescent="0.3">
      <c r="A3" s="365" t="s">
        <v>143</v>
      </c>
      <c r="B3" s="366"/>
      <c r="C3" s="366"/>
      <c r="D3" s="279" t="s">
        <v>134</v>
      </c>
      <c r="E3" s="279" t="s">
        <v>142</v>
      </c>
      <c r="F3" s="280" t="s">
        <v>136</v>
      </c>
    </row>
    <row r="4" spans="1:16" s="229" customFormat="1" ht="14.25" customHeight="1" x14ac:dyDescent="0.3">
      <c r="A4" s="365" t="s">
        <v>304</v>
      </c>
      <c r="B4" s="366"/>
      <c r="C4" s="366"/>
      <c r="D4" s="279" t="s">
        <v>126</v>
      </c>
      <c r="E4" s="279" t="s">
        <v>141</v>
      </c>
      <c r="F4" s="280" t="s">
        <v>135</v>
      </c>
      <c r="G4" s="296"/>
      <c r="H4" s="296"/>
      <c r="I4" s="296"/>
      <c r="J4" s="296"/>
      <c r="L4" s="137"/>
      <c r="M4" s="137"/>
      <c r="N4" s="137"/>
    </row>
    <row r="5" spans="1:16" s="229" customFormat="1" ht="14.25" customHeight="1" x14ac:dyDescent="0.3">
      <c r="A5" s="365" t="s">
        <v>250</v>
      </c>
      <c r="B5" s="366"/>
      <c r="C5" s="366"/>
      <c r="D5" s="282">
        <v>42523</v>
      </c>
      <c r="E5" s="282">
        <v>42523</v>
      </c>
      <c r="F5" s="288">
        <v>42528</v>
      </c>
      <c r="G5" s="297"/>
      <c r="H5" s="297"/>
      <c r="I5" s="297"/>
      <c r="J5" s="297"/>
      <c r="L5" s="137"/>
      <c r="M5" s="137"/>
      <c r="N5" s="137"/>
    </row>
    <row r="6" spans="1:16" s="229" customFormat="1" ht="14.25" customHeight="1" x14ac:dyDescent="0.3">
      <c r="A6" s="298" t="s">
        <v>322</v>
      </c>
      <c r="B6" s="279" t="s">
        <v>323</v>
      </c>
      <c r="C6" s="279" t="s">
        <v>324</v>
      </c>
      <c r="D6" s="279"/>
      <c r="E6" s="279"/>
      <c r="F6" s="280"/>
      <c r="G6" s="116" t="e">
        <f t="shared" ref="G6:G61" si="0">MAX(D6:F6)/C6</f>
        <v>#VALUE!</v>
      </c>
      <c r="H6" s="296" t="s">
        <v>526</v>
      </c>
      <c r="I6" s="296" t="s">
        <v>527</v>
      </c>
      <c r="J6" s="296" t="s">
        <v>528</v>
      </c>
      <c r="L6" s="137"/>
      <c r="M6" s="137"/>
      <c r="N6" s="137"/>
    </row>
    <row r="7" spans="1:16" s="137" customFormat="1" ht="14.25" customHeight="1" x14ac:dyDescent="0.3">
      <c r="A7" s="299" t="s">
        <v>325</v>
      </c>
      <c r="B7" s="299"/>
      <c r="C7" s="299"/>
      <c r="D7" s="299"/>
      <c r="E7" s="299"/>
      <c r="F7" s="299"/>
      <c r="G7" s="116" t="e">
        <f t="shared" si="0"/>
        <v>#DIV/0!</v>
      </c>
      <c r="H7" s="300"/>
      <c r="I7" s="300"/>
      <c r="J7" s="300"/>
      <c r="P7" s="137" t="s">
        <v>324</v>
      </c>
    </row>
    <row r="8" spans="1:16" s="137" customFormat="1" ht="14.25" customHeight="1" x14ac:dyDescent="0.3">
      <c r="A8" s="301" t="s">
        <v>326</v>
      </c>
      <c r="B8" s="285" t="s">
        <v>313</v>
      </c>
      <c r="C8" s="285" t="s">
        <v>327</v>
      </c>
      <c r="D8" s="285">
        <v>7.19</v>
      </c>
      <c r="E8" s="285">
        <v>6.5</v>
      </c>
      <c r="F8" s="287">
        <v>7.1</v>
      </c>
      <c r="G8" s="116" t="e">
        <f t="shared" si="0"/>
        <v>#VALUE!</v>
      </c>
      <c r="H8" s="302">
        <f>E8/D8</f>
        <v>0.90403337969401942</v>
      </c>
      <c r="I8" s="302">
        <f>F8/E8</f>
        <v>1.0923076923076922</v>
      </c>
      <c r="J8" s="302">
        <f>F8/D8</f>
        <v>0.98748261474269805</v>
      </c>
      <c r="L8" s="137">
        <f>VLOOKUP(D$3&amp;$A8,RawWQdata!$A$2:$Q$219,17,FALSE)</f>
        <v>7.19</v>
      </c>
      <c r="M8" s="137">
        <f>VLOOKUP(E$3&amp;$A8,RawWQdata!$A$2:$Q$219,17,FALSE)</f>
        <v>6.5</v>
      </c>
      <c r="N8" s="137">
        <f>VLOOKUP(F$3&amp;$A8,RawWQdata!$A$2:$Q$219,17,FALSE)</f>
        <v>7.1</v>
      </c>
    </row>
    <row r="9" spans="1:16" s="137" customFormat="1" ht="14.25" customHeight="1" x14ac:dyDescent="0.3">
      <c r="A9" s="301" t="s">
        <v>328</v>
      </c>
      <c r="B9" s="285" t="s">
        <v>315</v>
      </c>
      <c r="C9" s="285" t="s">
        <v>5</v>
      </c>
      <c r="D9" s="285">
        <v>3.65</v>
      </c>
      <c r="E9" s="285">
        <v>2.96</v>
      </c>
      <c r="F9" s="287">
        <v>3.6</v>
      </c>
      <c r="G9" s="116" t="e">
        <f t="shared" si="0"/>
        <v>#VALUE!</v>
      </c>
      <c r="H9" s="302">
        <f t="shared" ref="H9:H62" si="1">E9/D9</f>
        <v>0.81095890410958904</v>
      </c>
      <c r="I9" s="302">
        <f t="shared" ref="I9:I62" si="2">F9/E9</f>
        <v>1.2162162162162162</v>
      </c>
      <c r="J9" s="302">
        <f t="shared" ref="J9:J61" si="3">F9/D9</f>
        <v>0.98630136986301375</v>
      </c>
      <c r="L9" s="137">
        <f>VLOOKUP(D$3&amp;$A9,RawWQdata!$A$2:$Q$219,17,FALSE)</f>
        <v>3.65</v>
      </c>
      <c r="M9" s="137">
        <f>VLOOKUP(E$3&amp;$A9,RawWQdata!$A$2:$Q$219,17,FALSE)</f>
        <v>2.96</v>
      </c>
      <c r="N9" s="137">
        <f>VLOOKUP(F$3&amp;$A9,RawWQdata!$A$2:$Q$219,17,FALSE)</f>
        <v>3.6</v>
      </c>
    </row>
    <row r="10" spans="1:16" s="137" customFormat="1" ht="14.25" customHeight="1" x14ac:dyDescent="0.3">
      <c r="A10" s="301" t="s">
        <v>329</v>
      </c>
      <c r="B10" s="285" t="s">
        <v>551</v>
      </c>
      <c r="C10" s="285" t="s">
        <v>5</v>
      </c>
      <c r="D10" s="285">
        <v>97.4</v>
      </c>
      <c r="E10" s="285">
        <v>62</v>
      </c>
      <c r="F10" s="287">
        <v>116</v>
      </c>
      <c r="G10" s="116" t="e">
        <f t="shared" si="0"/>
        <v>#VALUE!</v>
      </c>
      <c r="H10" s="302">
        <f t="shared" si="1"/>
        <v>0.63655030800821355</v>
      </c>
      <c r="I10" s="302">
        <f t="shared" si="2"/>
        <v>1.8709677419354838</v>
      </c>
      <c r="J10" s="302">
        <f t="shared" si="3"/>
        <v>1.190965092402464</v>
      </c>
      <c r="L10" s="137">
        <f>VLOOKUP(D$3&amp;$A10,RawWQdata!$A$2:$Q$219,17,FALSE)</f>
        <v>97.4</v>
      </c>
      <c r="M10" s="137">
        <f>VLOOKUP(E$3&amp;$A10,RawWQdata!$A$2:$Q$219,17,FALSE)</f>
        <v>62</v>
      </c>
      <c r="N10" s="137">
        <f>VLOOKUP(F$3&amp;$A10,RawWQdata!$A$2:$Q$219,17,FALSE)</f>
        <v>116</v>
      </c>
    </row>
    <row r="11" spans="1:16" s="137" customFormat="1" ht="14.25" customHeight="1" x14ac:dyDescent="0.3">
      <c r="A11" s="301" t="s">
        <v>330</v>
      </c>
      <c r="B11" s="285" t="s">
        <v>551</v>
      </c>
      <c r="C11" s="285" t="s">
        <v>5</v>
      </c>
      <c r="D11" s="285">
        <v>125</v>
      </c>
      <c r="E11" s="285">
        <v>129</v>
      </c>
      <c r="F11" s="287">
        <v>9.6</v>
      </c>
      <c r="G11" s="116" t="e">
        <f t="shared" si="0"/>
        <v>#VALUE!</v>
      </c>
      <c r="H11" s="302">
        <f t="shared" si="1"/>
        <v>1.032</v>
      </c>
      <c r="I11" s="302">
        <f t="shared" si="2"/>
        <v>7.441860465116279E-2</v>
      </c>
      <c r="J11" s="302">
        <f t="shared" si="3"/>
        <v>7.6799999999999993E-2</v>
      </c>
      <c r="L11" s="137">
        <f>VLOOKUP(D$3&amp;$A11,RawWQdata!$A$2:$Q$219,17,FALSE)</f>
        <v>33.6</v>
      </c>
      <c r="M11" s="137">
        <f>VLOOKUP(E$3&amp;$A11,RawWQdata!$A$2:$Q$219,17,FALSE)</f>
        <v>160</v>
      </c>
      <c r="N11" s="137">
        <f>VLOOKUP(F$3&amp;$A11,RawWQdata!$A$2:$Q$219,17,FALSE)</f>
        <v>5</v>
      </c>
    </row>
    <row r="12" spans="1:16" s="137" customFormat="1" ht="14.25" customHeight="1" x14ac:dyDescent="0.3">
      <c r="A12" s="301" t="s">
        <v>331</v>
      </c>
      <c r="B12" s="285" t="s">
        <v>551</v>
      </c>
      <c r="C12" s="285" t="s">
        <v>5</v>
      </c>
      <c r="D12" s="285">
        <v>33.6</v>
      </c>
      <c r="E12" s="285">
        <v>160</v>
      </c>
      <c r="F12" s="287">
        <v>411</v>
      </c>
      <c r="G12" s="116" t="e">
        <f t="shared" si="0"/>
        <v>#VALUE!</v>
      </c>
      <c r="H12" s="302">
        <f t="shared" si="1"/>
        <v>4.7619047619047619</v>
      </c>
      <c r="I12" s="302">
        <f t="shared" si="2"/>
        <v>2.5687500000000001</v>
      </c>
      <c r="J12" s="302">
        <f t="shared" si="3"/>
        <v>12.232142857142856</v>
      </c>
      <c r="L12" s="137">
        <f>VLOOKUP(D$3&amp;$A12,RawWQdata!$A$2:$Q$219,17,FALSE)</f>
        <v>125</v>
      </c>
      <c r="M12" s="137">
        <f>VLOOKUP(E$3&amp;$A12,RawWQdata!$A$2:$Q$219,17,FALSE)</f>
        <v>129</v>
      </c>
      <c r="N12" s="137">
        <f>VLOOKUP(F$3&amp;$A12,RawWQdata!$A$2:$Q$219,17,FALSE)</f>
        <v>411</v>
      </c>
    </row>
    <row r="13" spans="1:16" s="137" customFormat="1" ht="14.25" customHeight="1" x14ac:dyDescent="0.3">
      <c r="A13" s="364" t="s">
        <v>332</v>
      </c>
      <c r="B13" s="364"/>
      <c r="C13" s="364"/>
      <c r="D13" s="364"/>
      <c r="E13" s="364"/>
      <c r="F13" s="364"/>
      <c r="G13" s="116" t="e">
        <f t="shared" si="0"/>
        <v>#DIV/0!</v>
      </c>
      <c r="H13" s="302" t="e">
        <f t="shared" si="1"/>
        <v>#DIV/0!</v>
      </c>
      <c r="I13" s="302" t="e">
        <f t="shared" si="2"/>
        <v>#DIV/0!</v>
      </c>
      <c r="J13" s="302" t="e">
        <f t="shared" si="3"/>
        <v>#DIV/0!</v>
      </c>
      <c r="L13" s="137" t="e">
        <f>VLOOKUP(D$3&amp;$A13,RawWQdata!$A$2:$Q$219,17,FALSE)</f>
        <v>#N/A</v>
      </c>
      <c r="M13" s="137" t="e">
        <f>VLOOKUP(E$3&amp;$A13,RawWQdata!$A$2:$Q$219,17,FALSE)</f>
        <v>#N/A</v>
      </c>
      <c r="N13" s="137" t="e">
        <f>VLOOKUP(F$3&amp;$A13,RawWQdata!$A$2:$Q$219,17,FALSE)</f>
        <v>#N/A</v>
      </c>
    </row>
    <row r="14" spans="1:16" s="137" customFormat="1" ht="14.25" customHeight="1" x14ac:dyDescent="0.3">
      <c r="A14" s="301" t="s">
        <v>333</v>
      </c>
      <c r="B14" s="285" t="s">
        <v>551</v>
      </c>
      <c r="C14" s="285" t="s">
        <v>5</v>
      </c>
      <c r="D14" s="285">
        <v>25</v>
      </c>
      <c r="E14" s="285">
        <v>25</v>
      </c>
      <c r="F14" s="287">
        <v>25</v>
      </c>
      <c r="G14" s="116" t="e">
        <f t="shared" si="0"/>
        <v>#VALUE!</v>
      </c>
      <c r="H14" s="302">
        <f t="shared" si="1"/>
        <v>1</v>
      </c>
      <c r="I14" s="302">
        <f t="shared" si="2"/>
        <v>1</v>
      </c>
      <c r="J14" s="302">
        <f t="shared" si="3"/>
        <v>1</v>
      </c>
      <c r="L14" s="137">
        <f>VLOOKUP(D$3&amp;$A14,RawWQdata!$A$2:$Q$219,17,FALSE)</f>
        <v>25</v>
      </c>
      <c r="M14" s="137">
        <f>VLOOKUP(E$3&amp;$A14,RawWQdata!$A$2:$Q$219,17,FALSE)</f>
        <v>25</v>
      </c>
      <c r="N14" s="137">
        <f>VLOOKUP(F$3&amp;$A14,RawWQdata!$A$2:$Q$219,17,FALSE)</f>
        <v>25</v>
      </c>
    </row>
    <row r="15" spans="1:16" s="137" customFormat="1" ht="14.25" customHeight="1" x14ac:dyDescent="0.3">
      <c r="A15" s="301" t="s">
        <v>334</v>
      </c>
      <c r="B15" s="285" t="s">
        <v>551</v>
      </c>
      <c r="C15" s="285" t="s">
        <v>5</v>
      </c>
      <c r="D15" s="285">
        <v>94.1</v>
      </c>
      <c r="E15" s="285">
        <v>50.1</v>
      </c>
      <c r="F15" s="287">
        <v>74.5</v>
      </c>
      <c r="G15" s="116" t="e">
        <f t="shared" si="0"/>
        <v>#VALUE!</v>
      </c>
      <c r="H15" s="302">
        <f t="shared" si="1"/>
        <v>0.53241232731137089</v>
      </c>
      <c r="I15" s="302">
        <f t="shared" si="2"/>
        <v>1.4870259481037924</v>
      </c>
      <c r="J15" s="302">
        <f t="shared" si="3"/>
        <v>0.79171094580233803</v>
      </c>
      <c r="L15" s="137">
        <f>VLOOKUP(D$3&amp;$A15,RawWQdata!$A$2:$Q$219,17,FALSE)</f>
        <v>94.1</v>
      </c>
      <c r="M15" s="137">
        <f>VLOOKUP(E$3&amp;$A15,RawWQdata!$A$2:$Q$219,17,FALSE)</f>
        <v>50.1</v>
      </c>
      <c r="N15" s="137">
        <f>VLOOKUP(F$3&amp;$A15,RawWQdata!$A$2:$Q$219,17,FALSE)</f>
        <v>79.8</v>
      </c>
    </row>
    <row r="16" spans="1:16" s="137" customFormat="1" ht="14.25" customHeight="1" x14ac:dyDescent="0.3">
      <c r="A16" s="301" t="s">
        <v>335</v>
      </c>
      <c r="B16" s="285" t="s">
        <v>551</v>
      </c>
      <c r="C16" s="285" t="s">
        <v>5</v>
      </c>
      <c r="D16" s="285">
        <v>1</v>
      </c>
      <c r="E16" s="285">
        <v>1</v>
      </c>
      <c r="F16" s="116">
        <v>1</v>
      </c>
      <c r="G16" s="116" t="e">
        <f t="shared" si="0"/>
        <v>#VALUE!</v>
      </c>
      <c r="H16" s="302">
        <f t="shared" si="1"/>
        <v>1</v>
      </c>
      <c r="I16" s="302">
        <f t="shared" si="2"/>
        <v>1</v>
      </c>
      <c r="J16" s="302">
        <f t="shared" si="3"/>
        <v>1</v>
      </c>
      <c r="L16" s="137">
        <f>VLOOKUP(D$3&amp;$A16,RawWQdata!$A$2:$Q$219,17,FALSE)</f>
        <v>1</v>
      </c>
      <c r="M16" s="137">
        <f>VLOOKUP(E$3&amp;$A16,RawWQdata!$A$2:$Q$219,17,FALSE)</f>
        <v>1</v>
      </c>
      <c r="N16" s="137">
        <f>VLOOKUP(F$3&amp;$A16,RawWQdata!$A$2:$Q$219,17,FALSE)</f>
        <v>1</v>
      </c>
    </row>
    <row r="17" spans="1:17" s="137" customFormat="1" ht="14.25" customHeight="1" x14ac:dyDescent="0.3">
      <c r="A17" s="301" t="s">
        <v>336</v>
      </c>
      <c r="B17" s="285" t="s">
        <v>551</v>
      </c>
      <c r="C17" s="285" t="s">
        <v>5</v>
      </c>
      <c r="D17" s="285">
        <v>1</v>
      </c>
      <c r="E17" s="285">
        <v>1</v>
      </c>
      <c r="F17" s="287">
        <v>1</v>
      </c>
      <c r="G17" s="116" t="e">
        <f t="shared" si="0"/>
        <v>#VALUE!</v>
      </c>
      <c r="H17" s="302">
        <f t="shared" si="1"/>
        <v>1</v>
      </c>
      <c r="I17" s="302">
        <f t="shared" si="2"/>
        <v>1</v>
      </c>
      <c r="J17" s="302">
        <f t="shared" si="3"/>
        <v>1</v>
      </c>
      <c r="L17" s="137">
        <f>VLOOKUP(D$3&amp;$A17,RawWQdata!$A$2:$Q$219,17,FALSE)</f>
        <v>1</v>
      </c>
      <c r="M17" s="137">
        <f>VLOOKUP(E$3&amp;$A17,RawWQdata!$A$2:$Q$219,17,FALSE)</f>
        <v>1</v>
      </c>
      <c r="N17" s="137">
        <f>VLOOKUP(F$3&amp;$A17,RawWQdata!$A$2:$Q$219,17,FALSE)</f>
        <v>1</v>
      </c>
    </row>
    <row r="18" spans="1:17" s="137" customFormat="1" ht="14.25" customHeight="1" x14ac:dyDescent="0.3">
      <c r="A18" s="301" t="s">
        <v>337</v>
      </c>
      <c r="B18" s="285" t="s">
        <v>551</v>
      </c>
      <c r="C18" s="285" t="s">
        <v>5</v>
      </c>
      <c r="D18" s="285">
        <v>94.1</v>
      </c>
      <c r="E18" s="285">
        <v>50.1</v>
      </c>
      <c r="F18" s="287">
        <v>79.8</v>
      </c>
      <c r="G18" s="116" t="e">
        <f t="shared" si="0"/>
        <v>#VALUE!</v>
      </c>
      <c r="H18" s="302">
        <f t="shared" si="1"/>
        <v>0.53241232731137089</v>
      </c>
      <c r="I18" s="302">
        <f t="shared" si="2"/>
        <v>1.5928143712574849</v>
      </c>
      <c r="J18" s="302">
        <f t="shared" si="3"/>
        <v>0.84803400637619553</v>
      </c>
      <c r="L18" s="137">
        <f>VLOOKUP(D$3&amp;$A18,RawWQdata!$A$2:$Q$219,17,FALSE)</f>
        <v>94.1</v>
      </c>
      <c r="M18" s="137">
        <f>VLOOKUP(E$3&amp;$A18,RawWQdata!$A$2:$Q$219,17,FALSE)</f>
        <v>50.1</v>
      </c>
      <c r="N18" s="137">
        <f>VLOOKUP(F$3&amp;$A18,RawWQdata!$A$2:$Q$219,17,FALSE)</f>
        <v>79.8</v>
      </c>
    </row>
    <row r="19" spans="1:17" s="137" customFormat="1" ht="14.25" customHeight="1" x14ac:dyDescent="0.3">
      <c r="A19" s="301" t="s">
        <v>338</v>
      </c>
      <c r="B19" s="285" t="s">
        <v>551</v>
      </c>
      <c r="C19" s="285" t="s">
        <v>602</v>
      </c>
      <c r="D19" s="285">
        <v>5.0000000000000001E-3</v>
      </c>
      <c r="E19" s="285">
        <v>1.9599999999999999E-2</v>
      </c>
      <c r="F19" s="287">
        <v>5.0000000000000001E-3</v>
      </c>
      <c r="G19" s="116" t="e">
        <f t="shared" si="0"/>
        <v>#VALUE!</v>
      </c>
      <c r="H19" s="302">
        <f t="shared" si="1"/>
        <v>3.92</v>
      </c>
      <c r="I19" s="302">
        <f t="shared" si="2"/>
        <v>0.25510204081632654</v>
      </c>
      <c r="J19" s="302">
        <f t="shared" si="3"/>
        <v>1</v>
      </c>
      <c r="L19" s="137">
        <f>VLOOKUP(D$3&amp;$A19,RawWQdata!$A$2:$Q$219,17,FALSE)</f>
        <v>5.0000000000000001E-3</v>
      </c>
      <c r="M19" s="137">
        <f>VLOOKUP(E$3&amp;$A19,RawWQdata!$A$2:$Q$219,17,FALSE)</f>
        <v>1.9599999999999999E-2</v>
      </c>
      <c r="N19" s="137">
        <f>VLOOKUP(F$3&amp;$A19,RawWQdata!$A$2:$Q$219,17,FALSE)</f>
        <v>5.0000000000000001E-3</v>
      </c>
    </row>
    <row r="20" spans="1:17" s="137" customFormat="1" ht="14.25" customHeight="1" x14ac:dyDescent="0.3">
      <c r="A20" s="301" t="s">
        <v>339</v>
      </c>
      <c r="B20" s="285" t="s">
        <v>551</v>
      </c>
      <c r="C20" s="285">
        <v>120</v>
      </c>
      <c r="D20" s="285">
        <v>0.5</v>
      </c>
      <c r="E20" s="285">
        <v>0.5</v>
      </c>
      <c r="F20" s="287">
        <v>0.5</v>
      </c>
      <c r="G20" s="116">
        <f t="shared" si="0"/>
        <v>4.1666666666666666E-3</v>
      </c>
      <c r="H20" s="302">
        <f t="shared" si="1"/>
        <v>1</v>
      </c>
      <c r="I20" s="302">
        <f t="shared" si="2"/>
        <v>1</v>
      </c>
      <c r="J20" s="302">
        <f t="shared" si="3"/>
        <v>1</v>
      </c>
      <c r="L20" s="137">
        <f>VLOOKUP(D$3&amp;$A20,RawWQdata!$A$2:$Q$219,17,FALSE)</f>
        <v>0.5</v>
      </c>
      <c r="M20" s="137">
        <f>VLOOKUP(E$3&amp;$A20,RawWQdata!$A$2:$Q$219,17,FALSE)</f>
        <v>0.5</v>
      </c>
      <c r="N20" s="137">
        <f>VLOOKUP(F$3&amp;$A20,RawWQdata!$A$2:$Q$219,17,FALSE)</f>
        <v>0.5</v>
      </c>
    </row>
    <row r="21" spans="1:17" s="137" customFormat="1" ht="14.25" customHeight="1" x14ac:dyDescent="0.3">
      <c r="A21" s="301" t="s">
        <v>340</v>
      </c>
      <c r="B21" s="285" t="s">
        <v>551</v>
      </c>
      <c r="C21" s="285">
        <v>0.12</v>
      </c>
      <c r="D21" s="285">
        <v>6.7000000000000004E-2</v>
      </c>
      <c r="E21" s="285">
        <v>9.0999999999999998E-2</v>
      </c>
      <c r="F21" s="341">
        <v>0.123</v>
      </c>
      <c r="G21" s="116">
        <f t="shared" si="0"/>
        <v>1.0250000000000001</v>
      </c>
      <c r="H21" s="302">
        <f t="shared" si="1"/>
        <v>1.3582089552238805</v>
      </c>
      <c r="I21" s="302">
        <f t="shared" si="2"/>
        <v>1.3516483516483517</v>
      </c>
      <c r="J21" s="302">
        <f t="shared" si="3"/>
        <v>1.835820895522388</v>
      </c>
      <c r="L21" s="137">
        <f>VLOOKUP(D$3&amp;$A21,RawWQdata!$A$2:$Q$219,17,FALSE)</f>
        <v>6.7000000000000004E-2</v>
      </c>
      <c r="M21" s="137">
        <f>VLOOKUP(E$3&amp;$A21,RawWQdata!$A$2:$Q$219,17,FALSE)</f>
        <v>9.0999999999999998E-2</v>
      </c>
      <c r="N21" s="137">
        <f>VLOOKUP(F$3&amp;$A21,RawWQdata!$A$2:$Q$219,17,FALSE)</f>
        <v>0.123</v>
      </c>
    </row>
    <row r="22" spans="1:17" s="137" customFormat="1" ht="14.25" customHeight="1" x14ac:dyDescent="0.3">
      <c r="A22" s="301" t="s">
        <v>341</v>
      </c>
      <c r="B22" s="285" t="s">
        <v>551</v>
      </c>
      <c r="C22" s="285">
        <v>13</v>
      </c>
      <c r="D22" s="285">
        <v>0.20699999999999999</v>
      </c>
      <c r="E22" s="285">
        <v>0.112</v>
      </c>
      <c r="F22" s="287">
        <v>0.113</v>
      </c>
      <c r="G22" s="116">
        <f t="shared" si="0"/>
        <v>1.5923076923076922E-2</v>
      </c>
      <c r="H22" s="302">
        <f t="shared" si="1"/>
        <v>0.54106280193236722</v>
      </c>
      <c r="I22" s="302">
        <f t="shared" si="2"/>
        <v>1.0089285714285714</v>
      </c>
      <c r="J22" s="302">
        <f t="shared" si="3"/>
        <v>0.54589371980676338</v>
      </c>
      <c r="L22" s="137">
        <f>VLOOKUP(D$3&amp;$A22,RawWQdata!$A$2:$Q$219,17,FALSE)</f>
        <v>0.20699999999999999</v>
      </c>
      <c r="M22" s="137">
        <f>VLOOKUP(E$3&amp;$A22,RawWQdata!$A$2:$Q$219,17,FALSE)</f>
        <v>0.112</v>
      </c>
      <c r="N22" s="137">
        <f>VLOOKUP(F$3&amp;$A22,RawWQdata!$A$2:$Q$219,17,FALSE)</f>
        <v>0.113</v>
      </c>
    </row>
    <row r="23" spans="1:17" s="137" customFormat="1" ht="14.25" customHeight="1" x14ac:dyDescent="0.3">
      <c r="A23" s="301" t="s">
        <v>342</v>
      </c>
      <c r="B23" s="285" t="s">
        <v>551</v>
      </c>
      <c r="C23" s="285">
        <v>0.06</v>
      </c>
      <c r="D23" s="285">
        <v>1E-3</v>
      </c>
      <c r="E23" s="285">
        <v>1E-3</v>
      </c>
      <c r="F23" s="304">
        <v>1E-3</v>
      </c>
      <c r="G23" s="116">
        <f t="shared" si="0"/>
        <v>1.6666666666666666E-2</v>
      </c>
      <c r="H23" s="302">
        <f t="shared" si="1"/>
        <v>1</v>
      </c>
      <c r="I23" s="302">
        <f t="shared" si="2"/>
        <v>1</v>
      </c>
      <c r="J23" s="302">
        <f t="shared" si="3"/>
        <v>1</v>
      </c>
      <c r="L23" s="137">
        <f>VLOOKUP(D$3&amp;$A23,RawWQdata!$A$2:$Q$219,17,FALSE)</f>
        <v>1E-3</v>
      </c>
      <c r="M23" s="137">
        <f>VLOOKUP(E$3&amp;$A23,RawWQdata!$A$2:$Q$219,17,FALSE)</f>
        <v>1E-3</v>
      </c>
      <c r="N23" s="137">
        <f>VLOOKUP(F$3&amp;$A23,RawWQdata!$A$2:$Q$219,17,FALSE)</f>
        <v>1E-3</v>
      </c>
      <c r="P23" s="137" t="s">
        <v>341</v>
      </c>
      <c r="Q23" s="137">
        <v>0.113</v>
      </c>
    </row>
    <row r="24" spans="1:17" s="137" customFormat="1" ht="14.25" customHeight="1" x14ac:dyDescent="0.3">
      <c r="A24" s="301" t="s">
        <v>13</v>
      </c>
      <c r="B24" s="285" t="s">
        <v>551</v>
      </c>
      <c r="C24" s="285" t="s">
        <v>5</v>
      </c>
      <c r="D24" s="285">
        <v>2.5999999999999999E-2</v>
      </c>
      <c r="E24" s="285">
        <v>0.157</v>
      </c>
      <c r="F24" s="287">
        <v>0.02</v>
      </c>
      <c r="G24" s="116" t="e">
        <f t="shared" si="0"/>
        <v>#VALUE!</v>
      </c>
      <c r="H24" s="302">
        <f t="shared" si="1"/>
        <v>6.0384615384615383</v>
      </c>
      <c r="I24" s="302">
        <f t="shared" si="2"/>
        <v>0.12738853503184713</v>
      </c>
      <c r="J24" s="302">
        <f t="shared" si="3"/>
        <v>0.76923076923076927</v>
      </c>
      <c r="L24" s="137">
        <f>VLOOKUP(D$3&amp;$A24,RawWQdata!$A$2:$Q$219,17,FALSE)</f>
        <v>2.5999999999999999E-2</v>
      </c>
      <c r="M24" s="137">
        <f>VLOOKUP(E$3&amp;$A24,RawWQdata!$A$2:$Q$219,17,FALSE)</f>
        <v>0.157</v>
      </c>
      <c r="N24" s="137">
        <f>VLOOKUP(F$3&amp;$A24,RawWQdata!$A$2:$Q$219,17,FALSE)</f>
        <v>0.02</v>
      </c>
      <c r="P24" s="137" t="s">
        <v>341</v>
      </c>
      <c r="Q24" s="137">
        <v>0.113</v>
      </c>
    </row>
    <row r="25" spans="1:17" s="137" customFormat="1" ht="14.25" customHeight="1" x14ac:dyDescent="0.3">
      <c r="A25" s="301" t="s">
        <v>343</v>
      </c>
      <c r="B25" s="285" t="s">
        <v>551</v>
      </c>
      <c r="C25" s="285">
        <v>100</v>
      </c>
      <c r="D25" s="285">
        <v>4.07</v>
      </c>
      <c r="E25" s="285">
        <v>20.8</v>
      </c>
      <c r="F25" s="287">
        <v>43.4</v>
      </c>
      <c r="G25" s="116">
        <f t="shared" si="0"/>
        <v>0.434</v>
      </c>
      <c r="H25" s="302">
        <f t="shared" si="1"/>
        <v>5.1105651105651102</v>
      </c>
      <c r="I25" s="302">
        <f t="shared" si="2"/>
        <v>2.0865384615384612</v>
      </c>
      <c r="J25" s="302">
        <f t="shared" si="3"/>
        <v>10.663390663390663</v>
      </c>
      <c r="L25" s="137">
        <f>VLOOKUP(D$3&amp;$A25,RawWQdata!$A$2:$Q$219,17,FALSE)</f>
        <v>4.07</v>
      </c>
      <c r="M25" s="137">
        <f>VLOOKUP(E$3&amp;$A25,RawWQdata!$A$2:$Q$219,17,FALSE)</f>
        <v>20.8</v>
      </c>
      <c r="N25" s="137">
        <f>VLOOKUP(F$3&amp;$A25,RawWQdata!$A$2:$Q$219,17,FALSE)</f>
        <v>43.4</v>
      </c>
      <c r="P25" s="137" t="s">
        <v>342</v>
      </c>
      <c r="Q25" s="137">
        <v>1E-3</v>
      </c>
    </row>
    <row r="26" spans="1:17" s="137" customFormat="1" ht="14.25" customHeight="1" x14ac:dyDescent="0.3">
      <c r="A26" s="301" t="s">
        <v>344</v>
      </c>
      <c r="B26" s="285" t="s">
        <v>551</v>
      </c>
      <c r="C26" s="285" t="s">
        <v>5</v>
      </c>
      <c r="D26" s="285">
        <v>2.76</v>
      </c>
      <c r="E26" s="285">
        <v>1.28</v>
      </c>
      <c r="F26" s="287">
        <v>0.87</v>
      </c>
      <c r="G26" s="116" t="e">
        <f t="shared" si="0"/>
        <v>#VALUE!</v>
      </c>
      <c r="H26" s="302">
        <f t="shared" si="1"/>
        <v>0.46376811594202905</v>
      </c>
      <c r="I26" s="302">
        <f t="shared" si="2"/>
        <v>0.6796875</v>
      </c>
      <c r="J26" s="302">
        <f t="shared" si="3"/>
        <v>0.31521739130434784</v>
      </c>
      <c r="L26" s="137">
        <f>VLOOKUP(D$3&amp;$A26,RawWQdata!$A$2:$Q$219,17,FALSE)</f>
        <v>2.76</v>
      </c>
      <c r="M26" s="137">
        <f>VLOOKUP(E$3&amp;$A26,RawWQdata!$A$2:$Q$219,17,FALSE)</f>
        <v>1.28</v>
      </c>
      <c r="N26" s="137">
        <f>VLOOKUP(F$3&amp;$A26,RawWQdata!$A$2:$Q$219,17,FALSE)</f>
        <v>0.87</v>
      </c>
      <c r="P26" s="137" t="s">
        <v>342</v>
      </c>
      <c r="Q26" s="137">
        <v>1E-3</v>
      </c>
    </row>
    <row r="27" spans="1:17" s="137" customFormat="1" ht="14.25" customHeight="1" x14ac:dyDescent="0.3">
      <c r="A27" s="301" t="s">
        <v>345</v>
      </c>
      <c r="B27" s="285"/>
      <c r="C27" s="285">
        <v>5.0000000000000001E-3</v>
      </c>
      <c r="D27" s="285"/>
      <c r="E27" s="285"/>
      <c r="F27" s="287"/>
      <c r="G27" s="116">
        <f t="shared" si="0"/>
        <v>0</v>
      </c>
      <c r="H27" s="302" t="e">
        <f t="shared" si="1"/>
        <v>#DIV/0!</v>
      </c>
      <c r="I27" s="302" t="e">
        <f t="shared" si="2"/>
        <v>#DIV/0!</v>
      </c>
      <c r="J27" s="302" t="e">
        <f t="shared" si="3"/>
        <v>#DIV/0!</v>
      </c>
      <c r="L27" s="137" t="e">
        <f>VLOOKUP(D$3&amp;$A27,RawWQdata!$A$2:$Q$219,17,FALSE)</f>
        <v>#N/A</v>
      </c>
      <c r="M27" s="137" t="e">
        <f>VLOOKUP(E$3&amp;$A27,RawWQdata!$A$2:$Q$219,17,FALSE)</f>
        <v>#N/A</v>
      </c>
      <c r="N27" s="137" t="e">
        <f>VLOOKUP(F$3&amp;$A27,RawWQdata!$A$2:$Q$219,17,FALSE)</f>
        <v>#N/A</v>
      </c>
    </row>
    <row r="28" spans="1:17" s="137" customFormat="1" ht="14.25" customHeight="1" x14ac:dyDescent="0.3">
      <c r="A28" s="364" t="s">
        <v>346</v>
      </c>
      <c r="B28" s="364"/>
      <c r="C28" s="364"/>
      <c r="D28" s="364"/>
      <c r="E28" s="364"/>
      <c r="F28" s="364"/>
      <c r="G28" s="116" t="e">
        <f t="shared" si="0"/>
        <v>#DIV/0!</v>
      </c>
      <c r="H28" s="302" t="e">
        <f t="shared" si="1"/>
        <v>#DIV/0!</v>
      </c>
      <c r="I28" s="302" t="e">
        <f t="shared" si="2"/>
        <v>#DIV/0!</v>
      </c>
      <c r="J28" s="302" t="e">
        <f t="shared" si="3"/>
        <v>#DIV/0!</v>
      </c>
      <c r="L28" s="137" t="e">
        <f>VLOOKUP(D$3&amp;$A28,RawWQdata!$A$2:$Q$219,17,FALSE)</f>
        <v>#N/A</v>
      </c>
      <c r="M28" s="137" t="e">
        <f>VLOOKUP(E$3&amp;$A28,RawWQdata!$A$2:$Q$219,17,FALSE)</f>
        <v>#N/A</v>
      </c>
      <c r="N28" s="137" t="e">
        <f>VLOOKUP(F$3&amp;$A28,RawWQdata!$A$2:$Q$219,17,FALSE)</f>
        <v>#N/A</v>
      </c>
    </row>
    <row r="29" spans="1:17" s="137" customFormat="1" ht="14.25" customHeight="1" x14ac:dyDescent="0.3">
      <c r="A29" s="301" t="s">
        <v>4</v>
      </c>
      <c r="B29" s="285" t="s">
        <v>551</v>
      </c>
      <c r="C29" s="285" t="s">
        <v>603</v>
      </c>
      <c r="D29" s="285">
        <v>1E-3</v>
      </c>
      <c r="E29" s="285">
        <v>1E-3</v>
      </c>
      <c r="F29" s="287">
        <v>1E-3</v>
      </c>
      <c r="G29" s="116" t="e">
        <f t="shared" si="0"/>
        <v>#VALUE!</v>
      </c>
      <c r="H29" s="302">
        <f t="shared" si="1"/>
        <v>1</v>
      </c>
      <c r="I29" s="302">
        <f t="shared" si="2"/>
        <v>1</v>
      </c>
      <c r="J29" s="302">
        <f t="shared" si="3"/>
        <v>1</v>
      </c>
      <c r="K29" s="137" t="str">
        <f>A29&amp;", dissolved"</f>
        <v>Aluminum, dissolved</v>
      </c>
      <c r="L29" s="137">
        <f>VLOOKUP(D$3&amp;$K29,RawWQdata!$A$2:$Q$219,17,FALSE)</f>
        <v>1E-3</v>
      </c>
      <c r="M29" s="137">
        <f>VLOOKUP(E$3&amp;$K29,RawWQdata!$A$2:$Q$219,17,FALSE)</f>
        <v>1E-3</v>
      </c>
      <c r="N29" s="137">
        <f>VLOOKUP(F$3&amp;$K29,RawWQdata!$A$2:$Q$219,17,FALSE)</f>
        <v>1E-3</v>
      </c>
    </row>
    <row r="30" spans="1:17" s="137" customFormat="1" ht="14.25" customHeight="1" x14ac:dyDescent="0.3">
      <c r="A30" s="301" t="s">
        <v>347</v>
      </c>
      <c r="B30" s="285" t="s">
        <v>551</v>
      </c>
      <c r="C30" s="285">
        <v>1.6</v>
      </c>
      <c r="D30" s="285">
        <v>1E-4</v>
      </c>
      <c r="E30" s="285">
        <v>1E-4</v>
      </c>
      <c r="F30" s="287">
        <v>1.3999999999999999E-4</v>
      </c>
      <c r="G30" s="116">
        <f t="shared" si="0"/>
        <v>8.7499999999999986E-5</v>
      </c>
      <c r="H30" s="302">
        <f t="shared" si="1"/>
        <v>1</v>
      </c>
      <c r="I30" s="302">
        <f t="shared" si="2"/>
        <v>1.4</v>
      </c>
      <c r="J30" s="302">
        <f t="shared" si="3"/>
        <v>1.4</v>
      </c>
      <c r="K30" s="137" t="str">
        <f t="shared" ref="K30:K62" si="4">A30&amp;", dissolved"</f>
        <v>Antimony (Sb), dissolved</v>
      </c>
      <c r="L30" s="137" t="e">
        <f>VLOOKUP(D$3&amp;$K30,RawWQdata!$A$2:$Q$219,17,FALSE)</f>
        <v>#N/A</v>
      </c>
      <c r="M30" s="137" t="e">
        <f>VLOOKUP(E$3&amp;$K30,RawWQdata!$A$2:$Q$219,17,FALSE)</f>
        <v>#N/A</v>
      </c>
      <c r="N30" s="137" t="e">
        <f>VLOOKUP(F$3&amp;$K30,RawWQdata!$A$2:$Q$219,17,FALSE)</f>
        <v>#N/A</v>
      </c>
    </row>
    <row r="31" spans="1:17" s="137" customFormat="1" ht="14.25" customHeight="1" x14ac:dyDescent="0.3">
      <c r="A31" s="301" t="s">
        <v>348</v>
      </c>
      <c r="B31" s="285" t="s">
        <v>551</v>
      </c>
      <c r="C31" s="285">
        <v>5.0000000000000001E-3</v>
      </c>
      <c r="D31" s="285">
        <v>1.7000000000000001E-4</v>
      </c>
      <c r="E31" s="285">
        <v>2.4000000000000001E-4</v>
      </c>
      <c r="F31" s="304">
        <v>1.6000000000000001E-4</v>
      </c>
      <c r="G31" s="116">
        <f t="shared" si="0"/>
        <v>4.8000000000000001E-2</v>
      </c>
      <c r="H31" s="302">
        <f t="shared" si="1"/>
        <v>1.4117647058823528</v>
      </c>
      <c r="I31" s="302">
        <f t="shared" si="2"/>
        <v>0.66666666666666674</v>
      </c>
      <c r="J31" s="302">
        <f t="shared" si="3"/>
        <v>0.94117647058823528</v>
      </c>
      <c r="K31" s="137" t="str">
        <f t="shared" si="4"/>
        <v>Arsenic (As), dissolved</v>
      </c>
      <c r="L31" s="137" t="e">
        <f>VLOOKUP(D$3&amp;$K31,RawWQdata!$A$2:$Q$219,17,FALSE)</f>
        <v>#N/A</v>
      </c>
      <c r="M31" s="137" t="e">
        <f>VLOOKUP(E$3&amp;$K31,RawWQdata!$A$2:$Q$219,17,FALSE)</f>
        <v>#N/A</v>
      </c>
      <c r="N31" s="137" t="e">
        <f>VLOOKUP(F$3&amp;$K31,RawWQdata!$A$2:$Q$219,17,FALSE)</f>
        <v>#N/A</v>
      </c>
    </row>
    <row r="32" spans="1:17" s="137" customFormat="1" ht="14.25" customHeight="1" x14ac:dyDescent="0.3">
      <c r="A32" s="301" t="s">
        <v>349</v>
      </c>
      <c r="B32" s="285" t="s">
        <v>551</v>
      </c>
      <c r="C32" s="285">
        <v>2.2999999999999998</v>
      </c>
      <c r="D32" s="285">
        <v>0.17100000000000001</v>
      </c>
      <c r="E32" s="285">
        <v>7.17E-2</v>
      </c>
      <c r="F32" s="287">
        <v>4.9000000000000002E-2</v>
      </c>
      <c r="G32" s="116">
        <f t="shared" si="0"/>
        <v>7.4347826086956531E-2</v>
      </c>
      <c r="H32" s="302">
        <f t="shared" si="1"/>
        <v>0.41929824561403506</v>
      </c>
      <c r="I32" s="302">
        <f t="shared" si="2"/>
        <v>0.68340306834030684</v>
      </c>
      <c r="J32" s="302">
        <f t="shared" si="3"/>
        <v>0.28654970760233917</v>
      </c>
      <c r="K32" s="137" t="str">
        <f t="shared" si="4"/>
        <v>Barium (Ba), dissolved</v>
      </c>
      <c r="L32" s="137" t="e">
        <f>VLOOKUP(D$3&amp;$K32,RawWQdata!$A$2:$Q$219,17,FALSE)</f>
        <v>#N/A</v>
      </c>
      <c r="M32" s="137" t="e">
        <f>VLOOKUP(E$3&amp;$K32,RawWQdata!$A$2:$Q$219,17,FALSE)</f>
        <v>#N/A</v>
      </c>
      <c r="N32" s="137" t="e">
        <f>VLOOKUP(F$3&amp;$K32,RawWQdata!$A$2:$Q$219,17,FALSE)</f>
        <v>#N/A</v>
      </c>
    </row>
    <row r="33" spans="1:14" s="137" customFormat="1" ht="14.25" customHeight="1" x14ac:dyDescent="0.3">
      <c r="A33" s="301" t="s">
        <v>350</v>
      </c>
      <c r="B33" s="285" t="s">
        <v>551</v>
      </c>
      <c r="C33" s="285">
        <v>5.3E-3</v>
      </c>
      <c r="D33" s="285">
        <v>1E-4</v>
      </c>
      <c r="E33" s="285">
        <v>1E-4</v>
      </c>
      <c r="F33" s="287">
        <v>1E-4</v>
      </c>
      <c r="G33" s="116">
        <f t="shared" si="0"/>
        <v>1.8867924528301886E-2</v>
      </c>
      <c r="H33" s="302">
        <f t="shared" si="1"/>
        <v>1</v>
      </c>
      <c r="I33" s="302">
        <f t="shared" si="2"/>
        <v>1</v>
      </c>
      <c r="J33" s="302">
        <f t="shared" si="3"/>
        <v>1</v>
      </c>
      <c r="K33" s="137" t="str">
        <f t="shared" si="4"/>
        <v>Beryllium (Be), dissolved</v>
      </c>
      <c r="L33" s="137" t="e">
        <f>VLOOKUP(D$3&amp;$K33,RawWQdata!$A$2:$Q$219,17,FALSE)</f>
        <v>#N/A</v>
      </c>
      <c r="M33" s="137" t="e">
        <f>VLOOKUP(E$3&amp;$K33,RawWQdata!$A$2:$Q$219,17,FALSE)</f>
        <v>#N/A</v>
      </c>
      <c r="N33" s="137" t="e">
        <f>VLOOKUP(F$3&amp;$K33,RawWQdata!$A$2:$Q$219,17,FALSE)</f>
        <v>#N/A</v>
      </c>
    </row>
    <row r="34" spans="1:14" s="137" customFormat="1" ht="14.25" customHeight="1" x14ac:dyDescent="0.3">
      <c r="A34" s="301" t="s">
        <v>351</v>
      </c>
      <c r="B34" s="285" t="s">
        <v>551</v>
      </c>
      <c r="C34" s="285">
        <v>1.5</v>
      </c>
      <c r="D34" s="285">
        <v>0.01</v>
      </c>
      <c r="E34" s="285">
        <v>0.01</v>
      </c>
      <c r="F34" s="287">
        <v>0.01</v>
      </c>
      <c r="G34" s="116">
        <f t="shared" si="0"/>
        <v>6.6666666666666671E-3</v>
      </c>
      <c r="H34" s="302">
        <f t="shared" si="1"/>
        <v>1</v>
      </c>
      <c r="I34" s="302">
        <f t="shared" si="2"/>
        <v>1</v>
      </c>
      <c r="J34" s="302">
        <f t="shared" si="3"/>
        <v>1</v>
      </c>
      <c r="K34" s="137" t="str">
        <f t="shared" si="4"/>
        <v>Boron (B), dissolved</v>
      </c>
      <c r="L34" s="137" t="e">
        <f>VLOOKUP(D$3&amp;$K34,RawWQdata!$A$2:$Q$219,17,FALSE)</f>
        <v>#N/A</v>
      </c>
      <c r="M34" s="137" t="e">
        <f>VLOOKUP(E$3&amp;$K34,RawWQdata!$A$2:$Q$219,17,FALSE)</f>
        <v>#N/A</v>
      </c>
      <c r="N34" s="137" t="e">
        <f>VLOOKUP(F$3&amp;$K34,RawWQdata!$A$2:$Q$219,17,FALSE)</f>
        <v>#N/A</v>
      </c>
    </row>
    <row r="35" spans="1:14" s="137" customFormat="1" ht="14.25" customHeight="1" x14ac:dyDescent="0.3">
      <c r="A35" s="301" t="s">
        <v>352</v>
      </c>
      <c r="B35" s="285" t="s">
        <v>551</v>
      </c>
      <c r="C35" s="285" t="s">
        <v>604</v>
      </c>
      <c r="D35" s="305">
        <v>4.8300000000000002E-5</v>
      </c>
      <c r="E35" s="285">
        <v>1.06E-4</v>
      </c>
      <c r="F35" s="287">
        <v>2.14E-4</v>
      </c>
      <c r="G35" s="116" t="e">
        <f t="shared" si="0"/>
        <v>#VALUE!</v>
      </c>
      <c r="H35" s="302">
        <f t="shared" si="1"/>
        <v>2.1946169772256727</v>
      </c>
      <c r="I35" s="302">
        <f t="shared" si="2"/>
        <v>2.0188679245283017</v>
      </c>
      <c r="J35" s="302">
        <f t="shared" si="3"/>
        <v>4.4306418219461694</v>
      </c>
      <c r="K35" s="137" t="str">
        <f t="shared" si="4"/>
        <v>Cadmium (Cd), dissolved</v>
      </c>
      <c r="L35" s="137" t="e">
        <f>VLOOKUP(D$3&amp;$K35,RawWQdata!$A$2:$Q$219,17,FALSE)</f>
        <v>#N/A</v>
      </c>
      <c r="M35" s="137" t="e">
        <f>VLOOKUP(E$3&amp;$K35,RawWQdata!$A$2:$Q$219,17,FALSE)</f>
        <v>#N/A</v>
      </c>
      <c r="N35" s="137" t="e">
        <f>VLOOKUP(F$3&amp;$K35,RawWQdata!$A$2:$Q$219,17,FALSE)</f>
        <v>#N/A</v>
      </c>
    </row>
    <row r="36" spans="1:14" s="137" customFormat="1" ht="14.25" customHeight="1" x14ac:dyDescent="0.3">
      <c r="A36" s="301" t="s">
        <v>6</v>
      </c>
      <c r="B36" s="285" t="s">
        <v>551</v>
      </c>
      <c r="C36" s="285" t="s">
        <v>5</v>
      </c>
      <c r="D36" s="285">
        <v>34.4</v>
      </c>
      <c r="E36" s="285">
        <v>18.899999999999999</v>
      </c>
      <c r="F36" s="287">
        <v>38.5</v>
      </c>
      <c r="G36" s="116" t="e">
        <f t="shared" si="0"/>
        <v>#VALUE!</v>
      </c>
      <c r="H36" s="302">
        <f t="shared" si="1"/>
        <v>0.54941860465116277</v>
      </c>
      <c r="I36" s="302">
        <f t="shared" si="2"/>
        <v>2.0370370370370372</v>
      </c>
      <c r="J36" s="302">
        <f t="shared" si="3"/>
        <v>1.1191860465116279</v>
      </c>
      <c r="K36" s="137" t="str">
        <f t="shared" si="4"/>
        <v>Calcium, dissolved</v>
      </c>
      <c r="L36" s="137">
        <f>VLOOKUP(D$3&amp;$K36,RawWQdata!$A$2:$Q$219,17,FALSE)</f>
        <v>34.4</v>
      </c>
      <c r="M36" s="137">
        <f>VLOOKUP(E$3&amp;$K36,RawWQdata!$A$2:$Q$219,17,FALSE)</f>
        <v>18.899999999999999</v>
      </c>
      <c r="N36" s="137">
        <f>VLOOKUP(F$3&amp;$K36,RawWQdata!$A$2:$Q$219,17,FALSE)</f>
        <v>38.5</v>
      </c>
    </row>
    <row r="37" spans="1:14" s="137" customFormat="1" ht="14.25" customHeight="1" x14ac:dyDescent="0.3">
      <c r="A37" s="301" t="s">
        <v>353</v>
      </c>
      <c r="B37" s="285" t="s">
        <v>551</v>
      </c>
      <c r="C37" s="285">
        <v>8.8999999999999999E-3</v>
      </c>
      <c r="D37" s="285">
        <v>4.6000000000000001E-4</v>
      </c>
      <c r="E37" s="285">
        <v>1.9000000000000001E-4</v>
      </c>
      <c r="F37" s="287">
        <v>3.8000000000000002E-4</v>
      </c>
      <c r="G37" s="116">
        <f t="shared" si="0"/>
        <v>5.168539325842697E-2</v>
      </c>
      <c r="H37" s="302">
        <f t="shared" si="1"/>
        <v>0.41304347826086957</v>
      </c>
      <c r="I37" s="302">
        <f t="shared" si="2"/>
        <v>2</v>
      </c>
      <c r="J37" s="302">
        <f t="shared" si="3"/>
        <v>0.82608695652173914</v>
      </c>
      <c r="K37" s="137" t="str">
        <f t="shared" si="4"/>
        <v>Chromium (Cr), dissolved</v>
      </c>
      <c r="L37" s="137" t="e">
        <f>VLOOKUP(D$3&amp;$K37,RawWQdata!$A$2:$Q$219,17,FALSE)</f>
        <v>#N/A</v>
      </c>
      <c r="M37" s="137" t="e">
        <f>VLOOKUP(E$3&amp;$K37,RawWQdata!$A$2:$Q$219,17,FALSE)</f>
        <v>#N/A</v>
      </c>
      <c r="N37" s="137" t="e">
        <f>VLOOKUP(F$3&amp;$K37,RawWQdata!$A$2:$Q$219,17,FALSE)</f>
        <v>#N/A</v>
      </c>
    </row>
    <row r="38" spans="1:14" s="137" customFormat="1" ht="14.25" customHeight="1" x14ac:dyDescent="0.3">
      <c r="A38" s="301" t="s">
        <v>354</v>
      </c>
      <c r="B38" s="285" t="s">
        <v>551</v>
      </c>
      <c r="C38" s="285" t="s">
        <v>5</v>
      </c>
      <c r="D38" s="285">
        <v>1E-4</v>
      </c>
      <c r="E38" s="285">
        <v>6.6E-4</v>
      </c>
      <c r="F38" s="287">
        <v>1.6000000000000001E-4</v>
      </c>
      <c r="G38" s="116" t="e">
        <f t="shared" si="0"/>
        <v>#VALUE!</v>
      </c>
      <c r="H38" s="302">
        <f t="shared" si="1"/>
        <v>6.6</v>
      </c>
      <c r="I38" s="302">
        <f t="shared" si="2"/>
        <v>0.24242424242424246</v>
      </c>
      <c r="J38" s="302">
        <f t="shared" si="3"/>
        <v>1.6</v>
      </c>
      <c r="K38" s="137" t="str">
        <f t="shared" si="4"/>
        <v>Cobalt (Co), dissolved</v>
      </c>
      <c r="L38" s="137" t="e">
        <f>VLOOKUP(D$3&amp;$K38,RawWQdata!$A$2:$Q$219,17,FALSE)</f>
        <v>#N/A</v>
      </c>
      <c r="M38" s="137" t="e">
        <f>VLOOKUP(E$3&amp;$K38,RawWQdata!$A$2:$Q$219,17,FALSE)</f>
        <v>#N/A</v>
      </c>
      <c r="N38" s="137" t="e">
        <f>VLOOKUP(F$3&amp;$K38,RawWQdata!$A$2:$Q$219,17,FALSE)</f>
        <v>#N/A</v>
      </c>
    </row>
    <row r="39" spans="1:14" s="137" customFormat="1" ht="14.25" customHeight="1" x14ac:dyDescent="0.3">
      <c r="A39" s="301" t="s">
        <v>355</v>
      </c>
      <c r="B39" s="285" t="s">
        <v>551</v>
      </c>
      <c r="C39" s="285" t="s">
        <v>605</v>
      </c>
      <c r="D39" s="285">
        <v>1.4E-3</v>
      </c>
      <c r="E39" s="285">
        <v>4.0999999999999999E-4</v>
      </c>
      <c r="F39" s="287">
        <v>7.3999999999999999E-4</v>
      </c>
      <c r="G39" s="116" t="e">
        <f t="shared" si="0"/>
        <v>#VALUE!</v>
      </c>
      <c r="H39" s="302">
        <f t="shared" si="1"/>
        <v>0.29285714285714287</v>
      </c>
      <c r="I39" s="302">
        <f>F39/E39</f>
        <v>1.8048780487804879</v>
      </c>
      <c r="J39" s="302">
        <f t="shared" si="3"/>
        <v>0.52857142857142858</v>
      </c>
      <c r="K39" s="137" t="str">
        <f t="shared" si="4"/>
        <v>Copper (Cu), dissolved</v>
      </c>
      <c r="L39" s="137" t="e">
        <f>VLOOKUP(D$3&amp;$K39,RawWQdata!$A$2:$Q$219,17,FALSE)</f>
        <v>#N/A</v>
      </c>
      <c r="M39" s="137" t="e">
        <f>VLOOKUP(E$3&amp;$K39,RawWQdata!$A$2:$Q$219,17,FALSE)</f>
        <v>#N/A</v>
      </c>
      <c r="N39" s="137" t="e">
        <f>VLOOKUP(F$3&amp;$K39,RawWQdata!$A$2:$Q$219,17,FALSE)</f>
        <v>#N/A</v>
      </c>
    </row>
    <row r="40" spans="1:14" s="137" customFormat="1" ht="14.25" customHeight="1" x14ac:dyDescent="0.3">
      <c r="A40" s="301" t="s">
        <v>356</v>
      </c>
      <c r="B40" s="285" t="s">
        <v>551</v>
      </c>
      <c r="C40" s="285" t="s">
        <v>5</v>
      </c>
      <c r="D40" s="285">
        <v>0.02</v>
      </c>
      <c r="E40" s="285">
        <v>0.16500000000000001</v>
      </c>
      <c r="F40" s="287">
        <v>2.3E-2</v>
      </c>
      <c r="G40" s="116" t="e">
        <f t="shared" si="0"/>
        <v>#VALUE!</v>
      </c>
      <c r="H40" s="302">
        <f t="shared" si="1"/>
        <v>8.25</v>
      </c>
      <c r="I40" s="302">
        <f>F40/E40</f>
        <v>0.13939393939393938</v>
      </c>
      <c r="J40" s="302">
        <f t="shared" si="3"/>
        <v>1.1499999999999999</v>
      </c>
      <c r="K40" s="137" t="str">
        <f t="shared" si="4"/>
        <v>Ferrous Iron, dissolved</v>
      </c>
      <c r="L40" s="137">
        <f>VLOOKUP(D$3&amp;$K40,RawWQdata!$A$2:$Q$219,17,FALSE)</f>
        <v>0.02</v>
      </c>
      <c r="M40" s="137">
        <f>VLOOKUP(E$3&amp;$K40,RawWQdata!$A$2:$Q$219,17,FALSE)</f>
        <v>0.16500000000000001</v>
      </c>
      <c r="N40" s="137">
        <f>VLOOKUP(F$3&amp;$K40,RawWQdata!$A$2:$Q$219,17,FALSE)</f>
        <v>0.02</v>
      </c>
    </row>
    <row r="41" spans="1:14" s="137" customFormat="1" ht="14.25" customHeight="1" x14ac:dyDescent="0.3">
      <c r="A41" s="301" t="s">
        <v>7</v>
      </c>
      <c r="B41" s="285" t="s">
        <v>551</v>
      </c>
      <c r="C41" s="285">
        <v>0.3</v>
      </c>
      <c r="D41" s="285">
        <v>0.03</v>
      </c>
      <c r="E41" s="285">
        <v>0.17599999999999999</v>
      </c>
      <c r="F41" s="287">
        <v>0.03</v>
      </c>
      <c r="G41" s="116">
        <f t="shared" si="0"/>
        <v>0.58666666666666667</v>
      </c>
      <c r="H41" s="302">
        <f t="shared" si="1"/>
        <v>5.8666666666666663</v>
      </c>
      <c r="I41" s="302">
        <f t="shared" si="2"/>
        <v>0.17045454545454547</v>
      </c>
      <c r="J41" s="302">
        <f t="shared" si="3"/>
        <v>1</v>
      </c>
      <c r="K41" s="137" t="str">
        <f t="shared" si="4"/>
        <v>Iron, dissolved</v>
      </c>
      <c r="L41" s="137">
        <f>VLOOKUP(D$3&amp;$K41,RawWQdata!$A$2:$Q$219,17,FALSE)</f>
        <v>0.03</v>
      </c>
      <c r="M41" s="137">
        <f>VLOOKUP(E$3&amp;$K41,RawWQdata!$A$2:$Q$219,17,FALSE)</f>
        <v>0.17599999999999999</v>
      </c>
      <c r="N41" s="137">
        <f>VLOOKUP(F$3&amp;$K41,RawWQdata!$A$2:$Q$219,17,FALSE)</f>
        <v>0.03</v>
      </c>
    </row>
    <row r="42" spans="1:14" s="137" customFormat="1" ht="14.25" customHeight="1" x14ac:dyDescent="0.3">
      <c r="A42" s="301" t="s">
        <v>357</v>
      </c>
      <c r="B42" s="285" t="s">
        <v>551</v>
      </c>
      <c r="C42" s="285" t="s">
        <v>606</v>
      </c>
      <c r="D42" s="285">
        <v>4.3800000000000002E-4</v>
      </c>
      <c r="E42" s="285">
        <v>3.5199999999999999E-4</v>
      </c>
      <c r="F42" s="287">
        <v>3.1E-4</v>
      </c>
      <c r="G42" s="116" t="e">
        <f t="shared" si="0"/>
        <v>#VALUE!</v>
      </c>
      <c r="H42" s="302">
        <f t="shared" si="1"/>
        <v>0.80365296803652964</v>
      </c>
      <c r="I42" s="302">
        <f t="shared" si="2"/>
        <v>0.88068181818181823</v>
      </c>
      <c r="J42" s="302">
        <f t="shared" si="3"/>
        <v>0.70776255707762559</v>
      </c>
      <c r="K42" s="137" t="str">
        <f t="shared" si="4"/>
        <v>Lead (Pb), dissolved</v>
      </c>
      <c r="L42" s="137" t="e">
        <f>VLOOKUP(D$3&amp;$K42,RawWQdata!$A$2:$Q$219,17,FALSE)</f>
        <v>#N/A</v>
      </c>
      <c r="M42" s="137" t="e">
        <f>VLOOKUP(E$3&amp;$K42,RawWQdata!$A$2:$Q$219,17,FALSE)</f>
        <v>#N/A</v>
      </c>
      <c r="N42" s="137" t="e">
        <f>VLOOKUP(F$3&amp;$K42,RawWQdata!$A$2:$Q$219,17,FALSE)</f>
        <v>#N/A</v>
      </c>
    </row>
    <row r="43" spans="1:14" s="137" customFormat="1" ht="14.25" customHeight="1" x14ac:dyDescent="0.3">
      <c r="A43" s="301" t="s">
        <v>8</v>
      </c>
      <c r="B43" s="285" t="s">
        <v>551</v>
      </c>
      <c r="C43" s="285" t="s">
        <v>5</v>
      </c>
      <c r="D43" s="285">
        <v>4.8999999999999998E-3</v>
      </c>
      <c r="E43" s="285">
        <v>4.7000000000000002E-3</v>
      </c>
      <c r="F43" s="287">
        <v>3.7000000000000002E-3</v>
      </c>
      <c r="G43" s="116" t="e">
        <f t="shared" si="0"/>
        <v>#VALUE!</v>
      </c>
      <c r="H43" s="302">
        <f t="shared" si="1"/>
        <v>0.95918367346938782</v>
      </c>
      <c r="I43" s="302">
        <f t="shared" si="2"/>
        <v>0.78723404255319152</v>
      </c>
      <c r="J43" s="302">
        <f t="shared" si="3"/>
        <v>0.75510204081632659</v>
      </c>
      <c r="K43" s="137" t="str">
        <f t="shared" si="4"/>
        <v>Lithium, dissolved</v>
      </c>
      <c r="L43" s="137">
        <f>VLOOKUP(D$3&amp;$K43,RawWQdata!$A$2:$Q$219,17,FALSE)</f>
        <v>4.8999999999999998E-3</v>
      </c>
      <c r="M43" s="137">
        <f>VLOOKUP(E$3&amp;$K43,RawWQdata!$A$2:$Q$219,17,FALSE)</f>
        <v>4.7000000000000002E-3</v>
      </c>
      <c r="N43" s="137">
        <f>VLOOKUP(F$3&amp;$K43,RawWQdata!$A$2:$Q$219,17,FALSE)</f>
        <v>3.7000000000000002E-3</v>
      </c>
    </row>
    <row r="44" spans="1:14" s="137" customFormat="1" ht="14.25" customHeight="1" x14ac:dyDescent="0.3">
      <c r="A44" s="301" t="s">
        <v>9</v>
      </c>
      <c r="B44" s="285" t="s">
        <v>551</v>
      </c>
      <c r="C44" s="285" t="s">
        <v>5</v>
      </c>
      <c r="D44" s="285">
        <v>2.77</v>
      </c>
      <c r="E44" s="285">
        <v>3.61</v>
      </c>
      <c r="F44" s="287">
        <v>4.9400000000000004</v>
      </c>
      <c r="G44" s="116" t="e">
        <f t="shared" si="0"/>
        <v>#VALUE!</v>
      </c>
      <c r="H44" s="302">
        <f t="shared" si="1"/>
        <v>1.3032490974729241</v>
      </c>
      <c r="I44" s="302">
        <f t="shared" si="2"/>
        <v>1.3684210526315792</v>
      </c>
      <c r="J44" s="302">
        <f t="shared" si="3"/>
        <v>1.7833935018050542</v>
      </c>
      <c r="K44" s="137" t="str">
        <f t="shared" si="4"/>
        <v>Magnesium, dissolved</v>
      </c>
      <c r="L44" s="137">
        <f>VLOOKUP(D$3&amp;$K44,RawWQdata!$A$2:$Q$219,17,FALSE)</f>
        <v>2.77</v>
      </c>
      <c r="M44" s="137">
        <f>VLOOKUP(E$3&amp;$K44,RawWQdata!$A$2:$Q$219,17,FALSE)</f>
        <v>3.61</v>
      </c>
      <c r="N44" s="137">
        <f>VLOOKUP(F$3&amp;$K44,RawWQdata!$A$2:$Q$219,17,FALSE)</f>
        <v>4.9400000000000004</v>
      </c>
    </row>
    <row r="45" spans="1:14" s="137" customFormat="1" ht="14.25" customHeight="1" x14ac:dyDescent="0.3">
      <c r="A45" s="301" t="s">
        <v>10</v>
      </c>
      <c r="B45" s="285" t="s">
        <v>551</v>
      </c>
      <c r="C45" s="285" t="s">
        <v>5</v>
      </c>
      <c r="D45" s="285">
        <v>2.1099999999999999E-3</v>
      </c>
      <c r="E45" s="285">
        <v>0.11</v>
      </c>
      <c r="F45" s="287">
        <v>5.9200000000000003E-2</v>
      </c>
      <c r="G45" s="116" t="e">
        <f t="shared" si="0"/>
        <v>#VALUE!</v>
      </c>
      <c r="H45" s="302">
        <f>E45/D45</f>
        <v>52.132701421800952</v>
      </c>
      <c r="I45" s="302">
        <f t="shared" si="2"/>
        <v>0.53818181818181821</v>
      </c>
      <c r="J45" s="302">
        <f>F45/D45</f>
        <v>28.056872037914694</v>
      </c>
      <c r="K45" s="137" t="str">
        <f t="shared" si="4"/>
        <v>Manganese, dissolved</v>
      </c>
      <c r="L45" s="137">
        <f>VLOOKUP(D$3&amp;$K45,RawWQdata!$A$2:$Q$219,17,FALSE)</f>
        <v>2.1099999999999999E-3</v>
      </c>
      <c r="M45" s="137">
        <f>VLOOKUP(E$3&amp;$K45,RawWQdata!$A$2:$Q$219,17,FALSE)</f>
        <v>0.11</v>
      </c>
      <c r="N45" s="137">
        <f>VLOOKUP(F$3&amp;$K45,RawWQdata!$A$2:$Q$219,17,FALSE)</f>
        <v>5.9200000000000003E-2</v>
      </c>
    </row>
    <row r="46" spans="1:14" s="137" customFormat="1" ht="14.25" customHeight="1" x14ac:dyDescent="0.3">
      <c r="A46" s="301" t="s">
        <v>11</v>
      </c>
      <c r="B46" s="285" t="s">
        <v>551</v>
      </c>
      <c r="C46" s="285">
        <v>2.5999999999999998E-5</v>
      </c>
      <c r="D46" s="305">
        <v>5.0000000000000004E-6</v>
      </c>
      <c r="E46" s="305">
        <v>5.0000000000000004E-6</v>
      </c>
      <c r="F46" s="306">
        <v>5.0000000000000004E-6</v>
      </c>
      <c r="G46" s="116">
        <f t="shared" si="0"/>
        <v>0.19230769230769235</v>
      </c>
      <c r="H46" s="302">
        <f t="shared" si="1"/>
        <v>1</v>
      </c>
      <c r="I46" s="302">
        <f t="shared" si="2"/>
        <v>1</v>
      </c>
      <c r="J46" s="302">
        <f t="shared" si="3"/>
        <v>1</v>
      </c>
      <c r="K46" s="137" t="str">
        <f t="shared" si="4"/>
        <v>Mercury, dissolved</v>
      </c>
      <c r="L46" s="137">
        <f>VLOOKUP(D$3&amp;$K46,RawWQdata!$A$2:$Q$219,17,FALSE)</f>
        <v>5.0000000000000004E-6</v>
      </c>
      <c r="M46" s="137">
        <f>VLOOKUP(E$3&amp;$K46,RawWQdata!$A$2:$Q$219,17,FALSE)</f>
        <v>5.0000000000000004E-6</v>
      </c>
      <c r="N46" s="137">
        <f>VLOOKUP(F$3&amp;$K46,RawWQdata!$A$2:$Q$219,17,FALSE)</f>
        <v>5.0000000000000004E-6</v>
      </c>
    </row>
    <row r="47" spans="1:14" s="137" customFormat="1" ht="14.25" customHeight="1" x14ac:dyDescent="0.3">
      <c r="A47" s="301" t="s">
        <v>358</v>
      </c>
      <c r="B47" s="285" t="s">
        <v>551</v>
      </c>
      <c r="C47" s="285">
        <v>7.2999999999999995E-2</v>
      </c>
      <c r="D47" s="285">
        <v>1.94E-4</v>
      </c>
      <c r="E47" s="285">
        <v>2.3000000000000001E-4</v>
      </c>
      <c r="F47" s="287">
        <v>1.6200000000000001E-4</v>
      </c>
      <c r="G47" s="116">
        <f t="shared" si="0"/>
        <v>3.1506849315068495E-3</v>
      </c>
      <c r="H47" s="302">
        <f t="shared" si="1"/>
        <v>1.1855670103092784</v>
      </c>
      <c r="I47" s="302">
        <f t="shared" si="2"/>
        <v>0.70434782608695656</v>
      </c>
      <c r="J47" s="302">
        <f t="shared" si="3"/>
        <v>0.83505154639175261</v>
      </c>
      <c r="K47" s="137" t="str">
        <f t="shared" si="4"/>
        <v>Molybdenum (Mo), dissolved</v>
      </c>
      <c r="L47" s="137" t="e">
        <f>VLOOKUP(D$3&amp;$K47,RawWQdata!$A$2:$Q$219,17,FALSE)</f>
        <v>#N/A</v>
      </c>
      <c r="M47" s="137" t="e">
        <f>VLOOKUP(E$3&amp;$K47,RawWQdata!$A$2:$Q$219,17,FALSE)</f>
        <v>#N/A</v>
      </c>
      <c r="N47" s="137" t="e">
        <f>VLOOKUP(F$3&amp;$K47,RawWQdata!$A$2:$Q$219,17,FALSE)</f>
        <v>#N/A</v>
      </c>
    </row>
    <row r="48" spans="1:14" s="137" customFormat="1" ht="14.25" customHeight="1" x14ac:dyDescent="0.3">
      <c r="A48" s="301" t="s">
        <v>12</v>
      </c>
      <c r="B48" s="285" t="s">
        <v>551</v>
      </c>
      <c r="C48" s="285" t="s">
        <v>607</v>
      </c>
      <c r="D48" s="285">
        <v>8.0000000000000004E-4</v>
      </c>
      <c r="E48" s="285">
        <v>1.6999999999999999E-3</v>
      </c>
      <c r="F48" s="287">
        <v>6.3699999999999998E-3</v>
      </c>
      <c r="G48" s="116" t="e">
        <f t="shared" si="0"/>
        <v>#VALUE!</v>
      </c>
      <c r="H48" s="302">
        <f t="shared" si="1"/>
        <v>2.125</v>
      </c>
      <c r="I48" s="302">
        <f>F48/E48</f>
        <v>3.7470588235294118</v>
      </c>
      <c r="J48" s="302">
        <f t="shared" si="3"/>
        <v>7.9624999999999995</v>
      </c>
      <c r="K48" s="137" t="str">
        <f t="shared" si="4"/>
        <v>Nickel, dissolved</v>
      </c>
      <c r="L48" s="137" t="e">
        <f>VLOOKUP(D$3&amp;$K48,RawWQdata!$A$2:$Q$219,17,FALSE)</f>
        <v>#N/A</v>
      </c>
      <c r="M48" s="137" t="e">
        <f>VLOOKUP(E$3&amp;$K48,RawWQdata!$A$2:$Q$219,17,FALSE)</f>
        <v>#N/A</v>
      </c>
      <c r="N48" s="137" t="e">
        <f>VLOOKUP(F$3&amp;$K48,RawWQdata!$A$2:$Q$219,17,FALSE)</f>
        <v>#N/A</v>
      </c>
    </row>
    <row r="49" spans="1:14" s="137" customFormat="1" ht="14.25" customHeight="1" x14ac:dyDescent="0.3">
      <c r="A49" s="301" t="s">
        <v>13</v>
      </c>
      <c r="B49" s="285" t="s">
        <v>551</v>
      </c>
      <c r="C49" s="285" t="s">
        <v>608</v>
      </c>
      <c r="D49" s="285">
        <v>0.3</v>
      </c>
      <c r="E49" s="285">
        <v>0.3</v>
      </c>
      <c r="F49" s="287">
        <v>0.3</v>
      </c>
      <c r="G49" s="116" t="e">
        <f t="shared" si="0"/>
        <v>#VALUE!</v>
      </c>
      <c r="H49" s="302">
        <f t="shared" si="1"/>
        <v>1</v>
      </c>
      <c r="I49" s="302">
        <f t="shared" si="2"/>
        <v>1</v>
      </c>
      <c r="J49" s="302">
        <f t="shared" si="3"/>
        <v>1</v>
      </c>
      <c r="K49" s="137" t="str">
        <f t="shared" si="4"/>
        <v>Phosphorus, dissolved</v>
      </c>
      <c r="L49" s="137">
        <f>VLOOKUP(D$3&amp;$K49,RawWQdata!$A$2:$Q$219,17,FALSE)</f>
        <v>0.3</v>
      </c>
      <c r="M49" s="137">
        <f>VLOOKUP(E$3&amp;$K49,RawWQdata!$A$2:$Q$219,17,FALSE)</f>
        <v>0.3</v>
      </c>
      <c r="N49" s="137">
        <f>VLOOKUP(F$3&amp;$K49,RawWQdata!$A$2:$Q$219,17,FALSE)</f>
        <v>0.3</v>
      </c>
    </row>
    <row r="50" spans="1:14" s="137" customFormat="1" ht="14.25" customHeight="1" x14ac:dyDescent="0.3">
      <c r="A50" s="301" t="s">
        <v>14</v>
      </c>
      <c r="B50" s="285" t="s">
        <v>551</v>
      </c>
      <c r="C50" s="285" t="s">
        <v>5</v>
      </c>
      <c r="D50" s="285">
        <v>1</v>
      </c>
      <c r="E50" s="285">
        <v>0.69</v>
      </c>
      <c r="F50" s="287">
        <v>0.86899999999999999</v>
      </c>
      <c r="G50" s="116" t="e">
        <f t="shared" si="0"/>
        <v>#VALUE!</v>
      </c>
      <c r="H50" s="302">
        <f t="shared" si="1"/>
        <v>0.69</v>
      </c>
      <c r="I50" s="302">
        <f t="shared" si="2"/>
        <v>1.2594202898550726</v>
      </c>
      <c r="J50" s="302">
        <f t="shared" si="3"/>
        <v>0.86899999999999999</v>
      </c>
      <c r="K50" s="137" t="str">
        <f t="shared" si="4"/>
        <v>Potassium, dissolved</v>
      </c>
      <c r="L50" s="137">
        <f>VLOOKUP(D$3&amp;$K50,RawWQdata!$A$2:$Q$219,17,FALSE)</f>
        <v>1</v>
      </c>
      <c r="M50" s="137">
        <f>VLOOKUP(E$3&amp;$K50,RawWQdata!$A$2:$Q$219,17,FALSE)</f>
        <v>0.69</v>
      </c>
      <c r="N50" s="137">
        <f>VLOOKUP(F$3&amp;$K50,RawWQdata!$A$2:$Q$219,17,FALSE)</f>
        <v>0.86099999999999999</v>
      </c>
    </row>
    <row r="51" spans="1:14" s="137" customFormat="1" ht="14.25" customHeight="1" x14ac:dyDescent="0.3">
      <c r="A51" s="301" t="s">
        <v>15</v>
      </c>
      <c r="B51" s="285" t="s">
        <v>551</v>
      </c>
      <c r="C51" s="285">
        <v>1E-3</v>
      </c>
      <c r="D51" s="305">
        <v>9.1000000000000003E-5</v>
      </c>
      <c r="E51" s="305">
        <v>8.7000000000000001E-5</v>
      </c>
      <c r="F51" s="306">
        <v>5.1999999999999997E-5</v>
      </c>
      <c r="G51" s="116">
        <f t="shared" si="0"/>
        <v>9.0999999999999998E-2</v>
      </c>
      <c r="H51" s="302">
        <f t="shared" si="1"/>
        <v>0.95604395604395598</v>
      </c>
      <c r="I51" s="302">
        <f t="shared" si="2"/>
        <v>0.59770114942528729</v>
      </c>
      <c r="J51" s="302">
        <f t="shared" si="3"/>
        <v>0.5714285714285714</v>
      </c>
      <c r="K51" s="137" t="str">
        <f t="shared" si="4"/>
        <v>Selenium, dissolved</v>
      </c>
      <c r="L51" s="137" t="e">
        <f>VLOOKUP(D$3&amp;$K51,RawWQdata!$A$2:$Q$219,17,FALSE)</f>
        <v>#N/A</v>
      </c>
      <c r="M51" s="137" t="e">
        <f>VLOOKUP(E$3&amp;$K51,RawWQdata!$A$2:$Q$219,17,FALSE)</f>
        <v>#N/A</v>
      </c>
      <c r="N51" s="137" t="e">
        <f>VLOOKUP(F$3&amp;$K51,RawWQdata!$A$2:$Q$219,17,FALSE)</f>
        <v>#N/A</v>
      </c>
    </row>
    <row r="52" spans="1:14" s="137" customFormat="1" ht="14.25" customHeight="1" x14ac:dyDescent="0.3">
      <c r="A52" s="301" t="s">
        <v>359</v>
      </c>
      <c r="B52" s="285" t="s">
        <v>551</v>
      </c>
      <c r="C52" s="285" t="s">
        <v>5</v>
      </c>
      <c r="D52" s="285">
        <v>17.899999999999999</v>
      </c>
      <c r="E52" s="285">
        <v>18.600000000000001</v>
      </c>
      <c r="F52" s="287">
        <v>17.8</v>
      </c>
      <c r="G52" s="116" t="e">
        <f t="shared" si="0"/>
        <v>#VALUE!</v>
      </c>
      <c r="H52" s="302">
        <f t="shared" si="1"/>
        <v>1.0391061452513968</v>
      </c>
      <c r="I52" s="302">
        <f t="shared" si="2"/>
        <v>0.95698924731182788</v>
      </c>
      <c r="J52" s="302">
        <f t="shared" si="3"/>
        <v>0.99441340782122922</v>
      </c>
      <c r="K52" s="137" t="str">
        <f t="shared" si="4"/>
        <v>Silica, dissolved</v>
      </c>
      <c r="L52" s="137">
        <f>VLOOKUP(D$3&amp;$K52,RawWQdata!$A$2:$Q$219,17,FALSE)</f>
        <v>17.899999999999999</v>
      </c>
      <c r="M52" s="137">
        <f>VLOOKUP(E$3&amp;$K52,RawWQdata!$A$2:$Q$219,17,FALSE)</f>
        <v>18.600000000000001</v>
      </c>
      <c r="N52" s="137">
        <f>VLOOKUP(F$3&amp;$K52,RawWQdata!$A$2:$Q$219,17,FALSE)</f>
        <v>17.8</v>
      </c>
    </row>
    <row r="53" spans="1:14" s="137" customFormat="1" ht="14.25" customHeight="1" x14ac:dyDescent="0.3">
      <c r="A53" s="301" t="s">
        <v>360</v>
      </c>
      <c r="B53" s="285" t="s">
        <v>551</v>
      </c>
      <c r="C53" s="285" t="s">
        <v>5</v>
      </c>
      <c r="D53" s="285">
        <v>8.35</v>
      </c>
      <c r="E53" s="285">
        <v>8.69</v>
      </c>
      <c r="F53" s="287">
        <v>8.34</v>
      </c>
      <c r="G53" s="116" t="e">
        <f t="shared" si="0"/>
        <v>#VALUE!</v>
      </c>
      <c r="H53" s="302">
        <f t="shared" si="1"/>
        <v>1.0407185628742515</v>
      </c>
      <c r="I53" s="302">
        <f t="shared" si="2"/>
        <v>0.95972382048331417</v>
      </c>
      <c r="J53" s="302">
        <f t="shared" si="3"/>
        <v>0.99880239520958092</v>
      </c>
      <c r="K53" s="137" t="str">
        <f t="shared" si="4"/>
        <v>Silicon, dissolved</v>
      </c>
      <c r="L53" s="137">
        <f>VLOOKUP(D$3&amp;$K53,RawWQdata!$A$2:$Q$219,17,FALSE)</f>
        <v>8.35</v>
      </c>
      <c r="M53" s="137">
        <f>VLOOKUP(E$3&amp;$K53,RawWQdata!$A$2:$Q$219,17,FALSE)</f>
        <v>8.69</v>
      </c>
      <c r="N53" s="137">
        <f>VLOOKUP(F$3&amp;$K53,RawWQdata!$A$2:$Q$219,17,FALSE)</f>
        <v>8.34</v>
      </c>
    </row>
    <row r="54" spans="1:14" s="137" customFormat="1" ht="14.25" customHeight="1" x14ac:dyDescent="0.3">
      <c r="A54" s="301" t="s">
        <v>361</v>
      </c>
      <c r="B54" s="285" t="s">
        <v>551</v>
      </c>
      <c r="C54" s="285">
        <v>1E-4</v>
      </c>
      <c r="D54" s="305">
        <v>1.0000000000000001E-5</v>
      </c>
      <c r="E54" s="305">
        <v>1.0000000000000001E-5</v>
      </c>
      <c r="F54" s="306">
        <v>1.0000000000000001E-5</v>
      </c>
      <c r="G54" s="116">
        <f t="shared" si="0"/>
        <v>0.1</v>
      </c>
      <c r="H54" s="302">
        <f t="shared" si="1"/>
        <v>1</v>
      </c>
      <c r="I54" s="302">
        <f t="shared" si="2"/>
        <v>1</v>
      </c>
      <c r="J54" s="302">
        <f t="shared" si="3"/>
        <v>1</v>
      </c>
      <c r="K54" s="137" t="str">
        <f t="shared" si="4"/>
        <v>Silver , dissolved</v>
      </c>
      <c r="L54" s="137" t="e">
        <f>VLOOKUP(D$3&amp;$K54,RawWQdata!$A$2:$Q$219,17,FALSE)</f>
        <v>#N/A</v>
      </c>
      <c r="M54" s="137" t="e">
        <f>VLOOKUP(E$3&amp;$K54,RawWQdata!$A$2:$Q$219,17,FALSE)</f>
        <v>#N/A</v>
      </c>
      <c r="N54" s="137" t="e">
        <f>VLOOKUP(F$3&amp;$K54,RawWQdata!$A$2:$Q$219,17,FALSE)</f>
        <v>#N/A</v>
      </c>
    </row>
    <row r="55" spans="1:14" s="137" customFormat="1" ht="14.25" customHeight="1" x14ac:dyDescent="0.3">
      <c r="A55" s="301" t="s">
        <v>362</v>
      </c>
      <c r="B55" s="285" t="s">
        <v>551</v>
      </c>
      <c r="C55" s="285" t="s">
        <v>5</v>
      </c>
      <c r="D55" s="285">
        <v>1.83</v>
      </c>
      <c r="E55" s="285">
        <v>2.88</v>
      </c>
      <c r="F55" s="287">
        <v>2.34</v>
      </c>
      <c r="G55" s="116" t="e">
        <f t="shared" si="0"/>
        <v>#VALUE!</v>
      </c>
      <c r="H55" s="302">
        <f t="shared" si="1"/>
        <v>1.5737704918032787</v>
      </c>
      <c r="I55" s="302">
        <f t="shared" si="2"/>
        <v>0.8125</v>
      </c>
      <c r="J55" s="302">
        <f t="shared" si="3"/>
        <v>1.2786885245901638</v>
      </c>
      <c r="K55" s="137" t="str">
        <f t="shared" si="4"/>
        <v>Sodium , dissolved</v>
      </c>
      <c r="L55" s="137" t="e">
        <f>VLOOKUP(D$3&amp;$K55,RawWQdata!$A$2:$Q$219,17,FALSE)</f>
        <v>#N/A</v>
      </c>
      <c r="M55" s="137" t="e">
        <f>VLOOKUP(E$3&amp;$K55,RawWQdata!$A$2:$Q$219,17,FALSE)</f>
        <v>#N/A</v>
      </c>
      <c r="N55" s="137" t="e">
        <f>VLOOKUP(F$3&amp;$K55,RawWQdata!$A$2:$Q$219,17,FALSE)</f>
        <v>#N/A</v>
      </c>
    </row>
    <row r="56" spans="1:14" s="137" customFormat="1" ht="14.25" customHeight="1" x14ac:dyDescent="0.3">
      <c r="A56" s="301" t="s">
        <v>16</v>
      </c>
      <c r="B56" s="285" t="s">
        <v>551</v>
      </c>
      <c r="C56" s="285" t="s">
        <v>5</v>
      </c>
      <c r="D56" s="285">
        <v>0.11799999999999999</v>
      </c>
      <c r="E56" s="285">
        <v>8.9499999999999996E-2</v>
      </c>
      <c r="F56" s="287">
        <v>0.113</v>
      </c>
      <c r="G56" s="116" t="e">
        <f t="shared" si="0"/>
        <v>#VALUE!</v>
      </c>
      <c r="H56" s="302">
        <f t="shared" si="1"/>
        <v>0.75847457627118642</v>
      </c>
      <c r="I56" s="302">
        <f t="shared" si="2"/>
        <v>1.2625698324022347</v>
      </c>
      <c r="J56" s="302">
        <f t="shared" si="3"/>
        <v>0.95762711864406791</v>
      </c>
      <c r="K56" s="137" t="str">
        <f t="shared" si="4"/>
        <v>Strontium, dissolved</v>
      </c>
      <c r="L56" s="137">
        <f>VLOOKUP(D$3&amp;$K56,RawWQdata!$A$2:$Q$219,17,FALSE)</f>
        <v>0.11799999999999999</v>
      </c>
      <c r="M56" s="137">
        <f>VLOOKUP(E$3&amp;$K56,RawWQdata!$A$2:$Q$219,17,FALSE)</f>
        <v>8.9499999999999996E-2</v>
      </c>
      <c r="N56" s="137">
        <f>VLOOKUP(F$3&amp;$K56,RawWQdata!$A$2:$Q$219,17,FALSE)</f>
        <v>0.113</v>
      </c>
    </row>
    <row r="57" spans="1:14" s="137" customFormat="1" ht="14.25" customHeight="1" x14ac:dyDescent="0.3">
      <c r="A57" s="301" t="s">
        <v>363</v>
      </c>
      <c r="B57" s="285" t="s">
        <v>551</v>
      </c>
      <c r="C57" s="285" t="s">
        <v>5</v>
      </c>
      <c r="D57" s="285">
        <v>1.46</v>
      </c>
      <c r="E57" s="285">
        <v>6.87</v>
      </c>
      <c r="F57" s="287">
        <v>15.2</v>
      </c>
      <c r="G57" s="116" t="e">
        <f t="shared" si="0"/>
        <v>#VALUE!</v>
      </c>
      <c r="H57" s="302">
        <f t="shared" si="1"/>
        <v>4.7054794520547949</v>
      </c>
      <c r="I57" s="302">
        <f t="shared" si="2"/>
        <v>2.2125181950509458</v>
      </c>
      <c r="J57" s="302">
        <f t="shared" si="3"/>
        <v>10.410958904109588</v>
      </c>
      <c r="K57" s="137" t="str">
        <f t="shared" si="4"/>
        <v>Sulfur, dissolved</v>
      </c>
      <c r="L57" s="137">
        <f>VLOOKUP(D$3&amp;$K57,RawWQdata!$A$2:$Q$219,17,FALSE)</f>
        <v>1.46</v>
      </c>
      <c r="M57" s="137">
        <f>VLOOKUP(E$3&amp;$K57,RawWQdata!$A$2:$Q$219,17,FALSE)</f>
        <v>6.87</v>
      </c>
      <c r="N57" s="137">
        <f>VLOOKUP(F$3&amp;$K57,RawWQdata!$A$2:$Q$219,17,FALSE)</f>
        <v>15.2</v>
      </c>
    </row>
    <row r="58" spans="1:14" s="137" customFormat="1" ht="14.25" customHeight="1" x14ac:dyDescent="0.3">
      <c r="A58" s="301" t="s">
        <v>364</v>
      </c>
      <c r="B58" s="285" t="s">
        <v>551</v>
      </c>
      <c r="C58" s="285">
        <v>8.0000000000000004E-4</v>
      </c>
      <c r="D58" s="305">
        <v>1.0000000000000001E-5</v>
      </c>
      <c r="E58" s="305">
        <v>1.0000000000000001E-5</v>
      </c>
      <c r="F58" s="306">
        <v>1.0000000000000001E-5</v>
      </c>
      <c r="G58" s="116">
        <f t="shared" si="0"/>
        <v>1.2500000000000001E-2</v>
      </c>
      <c r="H58" s="302">
        <f t="shared" si="1"/>
        <v>1</v>
      </c>
      <c r="I58" s="302">
        <f t="shared" si="2"/>
        <v>1</v>
      </c>
      <c r="J58" s="302">
        <f t="shared" si="3"/>
        <v>1</v>
      </c>
      <c r="K58" s="137" t="str">
        <f t="shared" si="4"/>
        <v>Thallium , dissolved</v>
      </c>
      <c r="L58" s="137" t="e">
        <f>VLOOKUP(D$3&amp;$K58,RawWQdata!$A$2:$Q$219,17,FALSE)</f>
        <v>#N/A</v>
      </c>
      <c r="M58" s="137" t="e">
        <f>VLOOKUP(E$3&amp;$K58,RawWQdata!$A$2:$Q$219,17,FALSE)</f>
        <v>#N/A</v>
      </c>
      <c r="N58" s="137" t="e">
        <f>VLOOKUP(F$3&amp;$K58,RawWQdata!$A$2:$Q$219,17,FALSE)</f>
        <v>#N/A</v>
      </c>
    </row>
    <row r="59" spans="1:14" s="137" customFormat="1" ht="14.25" customHeight="1" x14ac:dyDescent="0.3">
      <c r="A59" s="301" t="s">
        <v>17</v>
      </c>
      <c r="B59" s="285" t="s">
        <v>551</v>
      </c>
      <c r="C59" s="285">
        <v>0.1</v>
      </c>
      <c r="D59" s="285">
        <v>2.9999999999999997E-4</v>
      </c>
      <c r="E59" s="285">
        <v>2.9999999999999997E-4</v>
      </c>
      <c r="F59" s="287">
        <v>2.9999999999999997E-4</v>
      </c>
      <c r="G59" s="116">
        <f t="shared" si="0"/>
        <v>2.9999999999999996E-3</v>
      </c>
      <c r="H59" s="302">
        <f t="shared" si="1"/>
        <v>1</v>
      </c>
      <c r="I59" s="302">
        <f t="shared" si="2"/>
        <v>1</v>
      </c>
      <c r="J59" s="302">
        <f t="shared" si="3"/>
        <v>1</v>
      </c>
      <c r="K59" s="137" t="str">
        <f t="shared" si="4"/>
        <v>Titanium, dissolved</v>
      </c>
      <c r="L59" s="137">
        <f>VLOOKUP(D$3&amp;$K59,RawWQdata!$A$2:$Q$219,17,FALSE)</f>
        <v>2.9999999999999997E-4</v>
      </c>
      <c r="M59" s="137">
        <f>VLOOKUP(E$3&amp;$K59,RawWQdata!$A$2:$Q$219,17,FALSE)</f>
        <v>2.9999999999999997E-4</v>
      </c>
      <c r="N59" s="137">
        <f>VLOOKUP(F$3&amp;$K59,RawWQdata!$A$2:$Q$219,17,FALSE)</f>
        <v>2.9999999999999997E-4</v>
      </c>
    </row>
    <row r="60" spans="1:14" s="137" customFormat="1" ht="14.25" customHeight="1" x14ac:dyDescent="0.3">
      <c r="A60" s="301" t="s">
        <v>365</v>
      </c>
      <c r="B60" s="285" t="s">
        <v>551</v>
      </c>
      <c r="C60" s="285">
        <v>1.4999999999999999E-2</v>
      </c>
      <c r="D60" s="285">
        <v>1.5200000000000001E-4</v>
      </c>
      <c r="E60" s="285">
        <v>1.3300000000000001E-4</v>
      </c>
      <c r="F60" s="306">
        <v>5.0000000000000002E-5</v>
      </c>
      <c r="G60" s="116">
        <f t="shared" si="0"/>
        <v>1.0133333333333334E-2</v>
      </c>
      <c r="H60" s="302">
        <f t="shared" si="1"/>
        <v>0.875</v>
      </c>
      <c r="I60" s="302">
        <f t="shared" si="2"/>
        <v>0.37593984962406013</v>
      </c>
      <c r="J60" s="302">
        <f t="shared" si="3"/>
        <v>0.32894736842105265</v>
      </c>
      <c r="K60" s="137" t="str">
        <f t="shared" si="4"/>
        <v>Uranium , dissolved</v>
      </c>
      <c r="L60" s="137" t="e">
        <f>VLOOKUP(D$3&amp;$K60,RawWQdata!$A$2:$Q$219,17,FALSE)</f>
        <v>#N/A</v>
      </c>
      <c r="M60" s="137" t="e">
        <f>VLOOKUP(E$3&amp;$K60,RawWQdata!$A$2:$Q$219,17,FALSE)</f>
        <v>#N/A</v>
      </c>
      <c r="N60" s="137" t="e">
        <f>VLOOKUP(F$3&amp;$K60,RawWQdata!$A$2:$Q$219,17,FALSE)</f>
        <v>#N/A</v>
      </c>
    </row>
    <row r="61" spans="1:14" s="137" customFormat="1" ht="14.25" customHeight="1" x14ac:dyDescent="0.3">
      <c r="A61" s="301" t="s">
        <v>366</v>
      </c>
      <c r="B61" s="285" t="s">
        <v>551</v>
      </c>
      <c r="C61" s="285" t="s">
        <v>5</v>
      </c>
      <c r="D61" s="285">
        <v>5.0000000000000001E-4</v>
      </c>
      <c r="E61" s="285">
        <v>5.0000000000000001E-4</v>
      </c>
      <c r="F61" s="287">
        <v>5.0000000000000001E-4</v>
      </c>
      <c r="G61" s="116" t="e">
        <f t="shared" si="0"/>
        <v>#VALUE!</v>
      </c>
      <c r="H61" s="302">
        <f t="shared" si="1"/>
        <v>1</v>
      </c>
      <c r="I61" s="302">
        <f t="shared" si="2"/>
        <v>1</v>
      </c>
      <c r="J61" s="302">
        <f t="shared" si="3"/>
        <v>1</v>
      </c>
      <c r="K61" s="137" t="str">
        <f t="shared" si="4"/>
        <v>Vanadium , dissolved</v>
      </c>
      <c r="L61" s="137" t="e">
        <f>VLOOKUP(D$3&amp;$K61,RawWQdata!$A$2:$Q$219,17,FALSE)</f>
        <v>#N/A</v>
      </c>
      <c r="M61" s="137" t="e">
        <f>VLOOKUP(E$3&amp;$K61,RawWQdata!$A$2:$Q$219,17,FALSE)</f>
        <v>#N/A</v>
      </c>
      <c r="N61" s="137" t="e">
        <f>VLOOKUP(F$3&amp;$K61,RawWQdata!$A$2:$Q$219,17,FALSE)</f>
        <v>#N/A</v>
      </c>
    </row>
    <row r="62" spans="1:14" s="137" customFormat="1" ht="14.25" customHeight="1" x14ac:dyDescent="0.3">
      <c r="A62" s="301" t="s">
        <v>367</v>
      </c>
      <c r="B62" s="285" t="s">
        <v>551</v>
      </c>
      <c r="C62" s="285">
        <v>0.03</v>
      </c>
      <c r="D62" s="285">
        <v>1E-3</v>
      </c>
      <c r="E62" s="285">
        <v>1.4E-2</v>
      </c>
      <c r="F62" s="341">
        <v>8.5000000000000006E-2</v>
      </c>
      <c r="G62" s="116">
        <f>MAX(D62:F62)/C62</f>
        <v>2.8333333333333335</v>
      </c>
      <c r="H62" s="302">
        <f t="shared" si="1"/>
        <v>14</v>
      </c>
      <c r="I62" s="302">
        <f t="shared" si="2"/>
        <v>6.0714285714285721</v>
      </c>
      <c r="J62" s="302">
        <f>F62/D62</f>
        <v>85</v>
      </c>
      <c r="K62" s="137" t="str">
        <f t="shared" si="4"/>
        <v>Zinc , dissolved</v>
      </c>
      <c r="L62" s="137" t="e">
        <f>VLOOKUP(D$3&amp;$K62,RawWQdata!$A$2:$Q$219,17,FALSE)</f>
        <v>#N/A</v>
      </c>
      <c r="M62" s="137" t="e">
        <f>VLOOKUP(E$3&amp;$K62,RawWQdata!$A$2:$Q$219,17,FALSE)</f>
        <v>#N/A</v>
      </c>
      <c r="N62" s="137" t="e">
        <f>VLOOKUP(F$3&amp;$K62,RawWQdata!$A$2:$Q$219,17,FALSE)</f>
        <v>#N/A</v>
      </c>
    </row>
    <row r="63" spans="1:14" ht="8.25" customHeight="1" x14ac:dyDescent="0.25"/>
    <row r="64" spans="1:14" x14ac:dyDescent="0.25">
      <c r="A64" s="5" t="s">
        <v>368</v>
      </c>
      <c r="D64" s="4" t="s">
        <v>369</v>
      </c>
    </row>
    <row r="65" spans="1:13" x14ac:dyDescent="0.25">
      <c r="A65" s="120" t="s">
        <v>64</v>
      </c>
    </row>
    <row r="66" spans="1:13" x14ac:dyDescent="0.25">
      <c r="A66" s="342" t="s">
        <v>621</v>
      </c>
      <c r="F66" s="289"/>
      <c r="G66" s="289"/>
      <c r="H66" s="289"/>
      <c r="I66" s="289"/>
      <c r="J66" s="289"/>
    </row>
    <row r="67" spans="1:13" x14ac:dyDescent="0.25">
      <c r="A67" s="5" t="s">
        <v>370</v>
      </c>
      <c r="M67" s="290"/>
    </row>
    <row r="68" spans="1:13" x14ac:dyDescent="0.25">
      <c r="A68" s="5" t="s">
        <v>560</v>
      </c>
      <c r="M68" s="290"/>
    </row>
    <row r="69" spans="1:13" x14ac:dyDescent="0.25">
      <c r="A69" s="5" t="s">
        <v>561</v>
      </c>
      <c r="M69" s="290"/>
    </row>
    <row r="70" spans="1:13" x14ac:dyDescent="0.25">
      <c r="A70" s="5" t="s">
        <v>377</v>
      </c>
      <c r="M70" s="290"/>
    </row>
    <row r="71" spans="1:13" x14ac:dyDescent="0.25">
      <c r="A71" s="5" t="s">
        <v>375</v>
      </c>
    </row>
    <row r="72" spans="1:13" x14ac:dyDescent="0.25">
      <c r="A72" s="5" t="s">
        <v>376</v>
      </c>
    </row>
    <row r="73" spans="1:13" x14ac:dyDescent="0.25">
      <c r="A73" s="5" t="s">
        <v>630</v>
      </c>
    </row>
    <row r="74" spans="1:13" x14ac:dyDescent="0.25">
      <c r="A74" s="5" t="s">
        <v>378</v>
      </c>
    </row>
    <row r="75" spans="1:13" x14ac:dyDescent="0.25">
      <c r="A75" s="5" t="s">
        <v>559</v>
      </c>
    </row>
    <row r="76" spans="1:13" x14ac:dyDescent="0.25">
      <c r="A76" s="5" t="s">
        <v>94</v>
      </c>
    </row>
    <row r="77" spans="1:13" x14ac:dyDescent="0.25">
      <c r="A77" s="5" t="s">
        <v>555</v>
      </c>
    </row>
    <row r="78" spans="1:13" x14ac:dyDescent="0.25">
      <c r="A78" s="5" t="s">
        <v>372</v>
      </c>
    </row>
    <row r="79" spans="1:13" x14ac:dyDescent="0.25">
      <c r="A79" s="5" t="s">
        <v>371</v>
      </c>
    </row>
    <row r="80" spans="1:13" x14ac:dyDescent="0.25">
      <c r="A80" s="5" t="s">
        <v>373</v>
      </c>
      <c r="F80" s="289"/>
      <c r="G80" s="289"/>
      <c r="H80" s="289"/>
      <c r="I80" s="289"/>
      <c r="J80" s="289"/>
    </row>
    <row r="81" spans="1:10" ht="24" customHeight="1" x14ac:dyDescent="0.25">
      <c r="A81" s="363" t="s">
        <v>374</v>
      </c>
      <c r="B81" s="363"/>
      <c r="C81" s="363"/>
      <c r="D81" s="363"/>
      <c r="E81" s="363"/>
      <c r="F81" s="363"/>
      <c r="G81" s="289"/>
      <c r="H81" s="289"/>
      <c r="I81" s="289"/>
      <c r="J81" s="289"/>
    </row>
    <row r="82" spans="1:10" ht="9" customHeight="1" x14ac:dyDescent="0.25"/>
    <row r="83" spans="1:10" ht="17.25" customHeight="1" x14ac:dyDescent="0.25">
      <c r="A83" s="57" t="s">
        <v>623</v>
      </c>
      <c r="B83" s="57"/>
      <c r="C83" s="57"/>
      <c r="D83" s="57"/>
      <c r="E83" s="57"/>
      <c r="F83" s="57"/>
    </row>
    <row r="84" spans="1:10" ht="17.25" customHeight="1" x14ac:dyDescent="0.25">
      <c r="A84" s="291" t="s">
        <v>624</v>
      </c>
      <c r="B84" s="292"/>
      <c r="C84" s="292"/>
      <c r="D84" s="292"/>
      <c r="E84" s="292"/>
      <c r="F84" s="292"/>
    </row>
    <row r="85" spans="1:10" s="57" customFormat="1" ht="29.25" customHeight="1" x14ac:dyDescent="0.3">
      <c r="A85" s="363" t="s">
        <v>625</v>
      </c>
      <c r="B85" s="363"/>
      <c r="C85" s="363"/>
      <c r="D85" s="363"/>
      <c r="E85" s="363"/>
      <c r="F85" s="363"/>
      <c r="G85" s="56"/>
      <c r="H85" s="56"/>
      <c r="I85" s="56"/>
      <c r="J85" s="56"/>
    </row>
    <row r="86" spans="1:10" s="57" customFormat="1" ht="29.25" customHeight="1" x14ac:dyDescent="0.3">
      <c r="A86" s="363" t="s">
        <v>626</v>
      </c>
      <c r="B86" s="363"/>
      <c r="C86" s="363"/>
      <c r="D86" s="363"/>
      <c r="E86" s="363"/>
      <c r="F86" s="363"/>
      <c r="G86" s="56"/>
      <c r="H86" s="56"/>
      <c r="I86" s="56"/>
      <c r="J86" s="56"/>
    </row>
    <row r="87" spans="1:10" s="57" customFormat="1" ht="29.25" customHeight="1" x14ac:dyDescent="0.3">
      <c r="A87" s="363" t="s">
        <v>627</v>
      </c>
      <c r="B87" s="363"/>
      <c r="C87" s="363"/>
      <c r="D87" s="363"/>
      <c r="E87" s="363"/>
      <c r="F87" s="363"/>
      <c r="G87" s="56"/>
      <c r="H87" s="56"/>
      <c r="I87" s="56"/>
      <c r="J87" s="56"/>
    </row>
    <row r="88" spans="1:10" s="57" customFormat="1" ht="29.25" customHeight="1" x14ac:dyDescent="0.3">
      <c r="A88" s="363" t="s">
        <v>628</v>
      </c>
      <c r="B88" s="363"/>
      <c r="C88" s="363"/>
      <c r="D88" s="363"/>
      <c r="E88" s="363"/>
      <c r="F88" s="363"/>
      <c r="G88" s="293"/>
      <c r="H88" s="293"/>
      <c r="I88" s="293"/>
      <c r="J88" s="293"/>
    </row>
    <row r="89" spans="1:10" ht="13.8" x14ac:dyDescent="0.25">
      <c r="A89" s="291" t="s">
        <v>629</v>
      </c>
      <c r="B89" s="292"/>
      <c r="C89" s="292"/>
      <c r="D89" s="292"/>
      <c r="E89" s="292"/>
      <c r="F89" s="294"/>
      <c r="G89" s="289"/>
      <c r="H89" s="289"/>
      <c r="I89" s="289"/>
      <c r="J89" s="289"/>
    </row>
    <row r="90" spans="1:10" x14ac:dyDescent="0.25">
      <c r="A90" s="292"/>
      <c r="B90" s="292"/>
      <c r="C90" s="292"/>
      <c r="D90" s="292"/>
      <c r="E90" s="292"/>
      <c r="F90" s="292"/>
    </row>
  </sheetData>
  <sortState ref="A70:A80">
    <sortCondition ref="A70"/>
  </sortState>
  <mergeCells count="10">
    <mergeCell ref="A28:F28"/>
    <mergeCell ref="A3:C3"/>
    <mergeCell ref="A4:C4"/>
    <mergeCell ref="A5:C5"/>
    <mergeCell ref="A13:F13"/>
    <mergeCell ref="A81:F81"/>
    <mergeCell ref="A85:F85"/>
    <mergeCell ref="A86:F86"/>
    <mergeCell ref="A87:F87"/>
    <mergeCell ref="A88:F88"/>
  </mergeCells>
  <pageMargins left="0.7" right="0.7" top="0.75" bottom="0.75" header="0.3" footer="0.3"/>
  <pageSetup scale="95" orientation="portrait" r:id="rId1"/>
  <headerFooter>
    <oddFooter>&amp;L&amp;8ES102011123831RDD&amp;R&amp;8&amp;P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="115" zoomScaleNormal="100" zoomScaleSheetLayoutView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9" sqref="F9"/>
    </sheetView>
  </sheetViews>
  <sheetFormatPr defaultColWidth="9.109375" defaultRowHeight="12" x14ac:dyDescent="0.25"/>
  <cols>
    <col min="1" max="1" width="11.5546875" style="5" customWidth="1"/>
    <col min="2" max="2" width="15.109375" style="5" customWidth="1"/>
    <col min="3" max="3" width="9.44140625" style="5" customWidth="1"/>
    <col min="4" max="4" width="8.6640625" style="5" customWidth="1"/>
    <col min="5" max="5" width="25.5546875" style="5" customWidth="1"/>
    <col min="6" max="6" width="35" style="5" customWidth="1"/>
    <col min="7" max="7" width="14.44140625" style="5" customWidth="1"/>
    <col min="8" max="8" width="11.88671875" style="5" customWidth="1"/>
    <col min="9" max="9" width="15.44140625" style="5" customWidth="1"/>
    <col min="10" max="16384" width="9.109375" style="5"/>
  </cols>
  <sheetData>
    <row r="1" spans="1:9" s="12" customFormat="1" ht="13.8" x14ac:dyDescent="0.3">
      <c r="A1" s="211" t="s">
        <v>609</v>
      </c>
      <c r="B1" s="202"/>
      <c r="C1" s="271"/>
      <c r="D1" s="271"/>
      <c r="E1" s="313"/>
      <c r="G1" s="314"/>
      <c r="H1" s="315"/>
      <c r="I1" s="315"/>
    </row>
    <row r="2" spans="1:9" s="12" customFormat="1" ht="13.8" x14ac:dyDescent="0.3">
      <c r="A2" s="196" t="s">
        <v>0</v>
      </c>
      <c r="B2" s="196"/>
      <c r="C2" s="271"/>
      <c r="D2" s="271"/>
      <c r="E2" s="313"/>
      <c r="G2" s="314"/>
      <c r="H2" s="315"/>
      <c r="I2" s="315"/>
    </row>
    <row r="3" spans="1:9" s="137" customFormat="1" ht="27" customHeight="1" x14ac:dyDescent="0.3">
      <c r="A3" s="200" t="s">
        <v>179</v>
      </c>
      <c r="B3" s="200" t="s">
        <v>216</v>
      </c>
      <c r="C3" s="200" t="s">
        <v>212</v>
      </c>
      <c r="D3" s="200" t="s">
        <v>218</v>
      </c>
      <c r="E3" s="200" t="s">
        <v>205</v>
      </c>
      <c r="F3" s="330" t="s">
        <v>207</v>
      </c>
      <c r="G3" s="331" t="s">
        <v>180</v>
      </c>
      <c r="H3" s="331" t="s">
        <v>181</v>
      </c>
    </row>
    <row r="4" spans="1:9" ht="15" customHeight="1" x14ac:dyDescent="0.25">
      <c r="A4" s="155" t="s">
        <v>182</v>
      </c>
      <c r="B4" s="316" t="s">
        <v>134</v>
      </c>
      <c r="C4" s="155">
        <v>1</v>
      </c>
      <c r="D4" s="155">
        <v>1.5</v>
      </c>
      <c r="E4" s="317" t="s">
        <v>206</v>
      </c>
      <c r="F4" s="317" t="s">
        <v>562</v>
      </c>
      <c r="G4" s="318">
        <v>10</v>
      </c>
      <c r="H4" s="318">
        <v>0.01</v>
      </c>
    </row>
    <row r="5" spans="1:9" ht="15" customHeight="1" x14ac:dyDescent="0.25">
      <c r="A5" s="319"/>
      <c r="B5" s="319"/>
      <c r="C5" s="155">
        <v>2</v>
      </c>
      <c r="D5" s="155">
        <v>1.4</v>
      </c>
      <c r="E5" s="317" t="s">
        <v>209</v>
      </c>
      <c r="F5" s="317" t="s">
        <v>208</v>
      </c>
      <c r="G5" s="318">
        <v>5</v>
      </c>
      <c r="H5" s="318">
        <v>0.01</v>
      </c>
    </row>
    <row r="6" spans="1:9" ht="15" customHeight="1" x14ac:dyDescent="0.25">
      <c r="A6" s="319"/>
      <c r="B6" s="319"/>
      <c r="C6" s="155">
        <v>3</v>
      </c>
      <c r="D6" s="155">
        <v>1.65</v>
      </c>
      <c r="E6" s="317" t="s">
        <v>210</v>
      </c>
      <c r="F6" s="317" t="s">
        <v>563</v>
      </c>
      <c r="G6" s="318">
        <v>0.1</v>
      </c>
      <c r="H6" s="320">
        <v>9.9999999999999995E-7</v>
      </c>
    </row>
    <row r="7" spans="1:9" ht="15" customHeight="1" x14ac:dyDescent="0.25">
      <c r="A7" s="319"/>
      <c r="B7" s="319"/>
      <c r="C7" s="155">
        <v>4</v>
      </c>
      <c r="D7" s="155">
        <v>1</v>
      </c>
      <c r="E7" s="317" t="s">
        <v>211</v>
      </c>
      <c r="F7" s="317" t="s">
        <v>564</v>
      </c>
      <c r="G7" s="318">
        <v>0.1</v>
      </c>
      <c r="H7" s="320">
        <v>9.9999999999999995E-7</v>
      </c>
    </row>
    <row r="8" spans="1:9" ht="15" customHeight="1" x14ac:dyDescent="0.25">
      <c r="A8" s="321" t="s">
        <v>217</v>
      </c>
      <c r="B8" s="321" t="s">
        <v>142</v>
      </c>
      <c r="C8" s="321">
        <v>1</v>
      </c>
      <c r="D8" s="322">
        <v>1.6</v>
      </c>
      <c r="E8" s="323" t="s">
        <v>206</v>
      </c>
      <c r="F8" s="323" t="s">
        <v>215</v>
      </c>
      <c r="G8" s="324">
        <v>1</v>
      </c>
      <c r="H8" s="324">
        <v>0.1</v>
      </c>
    </row>
    <row r="9" spans="1:9" ht="15" customHeight="1" x14ac:dyDescent="0.25">
      <c r="A9" s="316"/>
      <c r="B9" s="316"/>
      <c r="C9" s="316">
        <v>2</v>
      </c>
      <c r="D9" s="155">
        <v>3.05</v>
      </c>
      <c r="E9" s="317" t="s">
        <v>213</v>
      </c>
      <c r="F9" s="317" t="s">
        <v>565</v>
      </c>
      <c r="G9" s="318">
        <v>3</v>
      </c>
      <c r="H9" s="318">
        <v>0.1</v>
      </c>
    </row>
    <row r="10" spans="1:9" ht="15" customHeight="1" x14ac:dyDescent="0.25">
      <c r="A10" s="316"/>
      <c r="B10" s="316"/>
      <c r="C10" s="316">
        <v>3</v>
      </c>
      <c r="D10" s="155">
        <v>1</v>
      </c>
      <c r="E10" s="317" t="s">
        <v>211</v>
      </c>
      <c r="F10" s="317" t="s">
        <v>566</v>
      </c>
      <c r="G10" s="318">
        <v>300</v>
      </c>
      <c r="H10" s="320">
        <v>9.9999999999999995E-7</v>
      </c>
    </row>
    <row r="11" spans="1:9" ht="15" customHeight="1" x14ac:dyDescent="0.25">
      <c r="A11" s="316"/>
      <c r="B11" s="321" t="s">
        <v>162</v>
      </c>
      <c r="C11" s="321">
        <v>1</v>
      </c>
      <c r="D11" s="322">
        <v>1.6</v>
      </c>
      <c r="E11" s="323" t="s">
        <v>206</v>
      </c>
      <c r="F11" s="323" t="s">
        <v>215</v>
      </c>
      <c r="G11" s="324">
        <v>1</v>
      </c>
      <c r="H11" s="324">
        <v>0.1</v>
      </c>
    </row>
    <row r="12" spans="1:9" ht="15" customHeight="1" x14ac:dyDescent="0.25">
      <c r="A12" s="316"/>
      <c r="B12" s="316"/>
      <c r="C12" s="316">
        <v>2</v>
      </c>
      <c r="D12" s="155">
        <v>3.05</v>
      </c>
      <c r="E12" s="317" t="s">
        <v>213</v>
      </c>
      <c r="F12" s="317" t="s">
        <v>565</v>
      </c>
      <c r="G12" s="318">
        <v>3</v>
      </c>
      <c r="H12" s="318">
        <v>0.01</v>
      </c>
    </row>
    <row r="13" spans="1:9" ht="15" customHeight="1" x14ac:dyDescent="0.25">
      <c r="A13" s="316"/>
      <c r="B13" s="316"/>
      <c r="C13" s="316">
        <v>3</v>
      </c>
      <c r="D13" s="155">
        <v>1</v>
      </c>
      <c r="E13" s="317" t="s">
        <v>211</v>
      </c>
      <c r="F13" s="317" t="s">
        <v>566</v>
      </c>
      <c r="G13" s="318">
        <v>300</v>
      </c>
      <c r="H13" s="320">
        <v>9.9999999999999995E-7</v>
      </c>
    </row>
    <row r="14" spans="1:9" ht="15" customHeight="1" x14ac:dyDescent="0.25">
      <c r="A14" s="316"/>
      <c r="B14" s="321" t="s">
        <v>167</v>
      </c>
      <c r="C14" s="321">
        <v>1</v>
      </c>
      <c r="D14" s="322">
        <v>1.6</v>
      </c>
      <c r="E14" s="323" t="s">
        <v>206</v>
      </c>
      <c r="F14" s="323" t="s">
        <v>215</v>
      </c>
      <c r="G14" s="324">
        <v>1</v>
      </c>
      <c r="H14" s="324">
        <v>0.1</v>
      </c>
    </row>
    <row r="15" spans="1:9" ht="15" customHeight="1" x14ac:dyDescent="0.25">
      <c r="A15" s="319"/>
      <c r="B15" s="319"/>
      <c r="C15" s="316">
        <v>2</v>
      </c>
      <c r="D15" s="155">
        <v>3.05</v>
      </c>
      <c r="E15" s="317" t="s">
        <v>213</v>
      </c>
      <c r="F15" s="317" t="s">
        <v>565</v>
      </c>
      <c r="G15" s="318">
        <v>5</v>
      </c>
      <c r="H15" s="318">
        <v>1.5E-3</v>
      </c>
    </row>
    <row r="16" spans="1:9" ht="15" customHeight="1" x14ac:dyDescent="0.25">
      <c r="A16" s="325"/>
      <c r="B16" s="325"/>
      <c r="C16" s="326">
        <v>3</v>
      </c>
      <c r="D16" s="157">
        <v>1</v>
      </c>
      <c r="E16" s="327" t="s">
        <v>211</v>
      </c>
      <c r="F16" s="327" t="s">
        <v>566</v>
      </c>
      <c r="G16" s="328">
        <v>5</v>
      </c>
      <c r="H16" s="329">
        <v>9.9999999999999995E-7</v>
      </c>
    </row>
    <row r="17" spans="1:9" ht="4.5" customHeight="1" x14ac:dyDescent="0.25">
      <c r="A17" s="308"/>
      <c r="B17" s="308"/>
      <c r="C17" s="308"/>
      <c r="D17" s="309"/>
      <c r="E17" s="45"/>
      <c r="F17" s="45"/>
      <c r="G17" s="31"/>
      <c r="H17" s="31"/>
    </row>
    <row r="18" spans="1:9" x14ac:dyDescent="0.25">
      <c r="A18" s="332" t="s">
        <v>64</v>
      </c>
      <c r="B18" s="104"/>
      <c r="C18" s="104"/>
      <c r="D18" s="104"/>
      <c r="E18" s="100"/>
      <c r="F18" s="98"/>
      <c r="G18" s="310"/>
      <c r="H18" s="311"/>
    </row>
    <row r="19" spans="1:9" x14ac:dyDescent="0.25">
      <c r="A19" s="332" t="s">
        <v>214</v>
      </c>
      <c r="B19" s="4"/>
      <c r="C19" s="4"/>
      <c r="D19" s="4"/>
      <c r="E19" s="92"/>
      <c r="G19" s="123"/>
      <c r="H19" s="307"/>
    </row>
    <row r="20" spans="1:9" ht="4.5" customHeight="1" x14ac:dyDescent="0.25">
      <c r="A20" s="332"/>
      <c r="B20" s="4"/>
      <c r="C20" s="4"/>
      <c r="D20" s="4"/>
      <c r="E20" s="92"/>
      <c r="G20" s="123"/>
      <c r="H20" s="307"/>
    </row>
    <row r="21" spans="1:9" x14ac:dyDescent="0.25">
      <c r="A21" s="332" t="s">
        <v>112</v>
      </c>
      <c r="B21" s="4"/>
      <c r="C21" s="4"/>
      <c r="D21" s="4"/>
      <c r="E21" s="92"/>
      <c r="G21" s="123"/>
      <c r="H21" s="307"/>
    </row>
    <row r="22" spans="1:9" x14ac:dyDescent="0.25">
      <c r="A22" s="332" t="s">
        <v>567</v>
      </c>
      <c r="B22" s="4"/>
      <c r="C22" s="4"/>
      <c r="D22" s="4"/>
      <c r="E22" s="92"/>
      <c r="G22" s="123"/>
      <c r="H22" s="307"/>
      <c r="I22" s="307"/>
    </row>
    <row r="23" spans="1:9" x14ac:dyDescent="0.25">
      <c r="A23" s="4"/>
      <c r="B23" s="4"/>
      <c r="C23" s="4"/>
      <c r="D23" s="4"/>
      <c r="E23" s="92"/>
      <c r="G23" s="123"/>
      <c r="H23" s="307"/>
      <c r="I23" s="307"/>
    </row>
    <row r="24" spans="1:9" x14ac:dyDescent="0.25">
      <c r="B24" s="203"/>
      <c r="C24" s="4"/>
      <c r="D24" s="4"/>
      <c r="E24" s="92"/>
      <c r="G24" s="123"/>
      <c r="H24" s="307"/>
      <c r="I24" s="307"/>
    </row>
    <row r="25" spans="1:9" x14ac:dyDescent="0.25">
      <c r="B25" s="203"/>
      <c r="C25" s="4"/>
      <c r="D25" s="4"/>
      <c r="E25" s="92"/>
      <c r="G25" s="123"/>
      <c r="H25" s="307"/>
      <c r="I25" s="307"/>
    </row>
    <row r="26" spans="1:9" x14ac:dyDescent="0.25">
      <c r="A26" s="104"/>
      <c r="B26" s="104"/>
      <c r="C26" s="104"/>
      <c r="D26" s="104"/>
      <c r="E26" s="92"/>
      <c r="F26" s="123"/>
      <c r="G26" s="123"/>
      <c r="H26" s="307"/>
      <c r="I26" s="307"/>
    </row>
    <row r="27" spans="1:9" x14ac:dyDescent="0.25">
      <c r="A27" s="104"/>
      <c r="B27" s="104"/>
      <c r="C27" s="104"/>
      <c r="D27" s="104"/>
      <c r="E27" s="92"/>
      <c r="G27" s="123"/>
      <c r="H27" s="307"/>
      <c r="I27" s="307"/>
    </row>
    <row r="28" spans="1:9" x14ac:dyDescent="0.25">
      <c r="A28" s="104"/>
      <c r="B28" s="104"/>
      <c r="C28" s="104"/>
      <c r="D28" s="104"/>
      <c r="E28" s="92"/>
      <c r="G28" s="123"/>
      <c r="H28" s="307"/>
      <c r="I28" s="307"/>
    </row>
    <row r="29" spans="1:9" x14ac:dyDescent="0.25">
      <c r="A29" s="4"/>
      <c r="B29" s="4"/>
      <c r="C29" s="4"/>
      <c r="D29" s="4"/>
      <c r="E29" s="121"/>
      <c r="F29" s="121"/>
      <c r="G29" s="121"/>
      <c r="H29" s="312"/>
      <c r="I29" s="312"/>
    </row>
  </sheetData>
  <sortState ref="A20:A21">
    <sortCondition ref="A19"/>
  </sortState>
  <pageMargins left="0.7" right="0.7" top="0.75" bottom="0.75" header="0.3" footer="0.3"/>
  <pageSetup scale="90" orientation="landscape" horizontalDpi="1200" verticalDpi="1200" r:id="rId1"/>
  <headerFooter>
    <oddFooter>&amp;L&amp;8ES102011123831RDD&amp;R&amp;8&amp;P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view="pageBreakPreview" zoomScale="115" zoomScaleNormal="55" zoomScaleSheetLayoutView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2" x14ac:dyDescent="0.25"/>
  <cols>
    <col min="1" max="1" width="8.33203125" style="5" customWidth="1"/>
    <col min="2" max="3" width="8.44140625" style="5" customWidth="1"/>
    <col min="4" max="4" width="11.88671875" style="5" customWidth="1"/>
    <col min="5" max="6" width="8.6640625" style="5" customWidth="1"/>
    <col min="7" max="7" width="12.5546875" style="5" customWidth="1"/>
    <col min="8" max="8" width="11.109375" style="5" customWidth="1"/>
    <col min="9" max="11" width="8.6640625" style="5" customWidth="1"/>
    <col min="12" max="12" width="7.109375" style="5" customWidth="1"/>
    <col min="13" max="13" width="8.6640625" style="5" customWidth="1"/>
    <col min="14" max="14" width="9.109375" style="5"/>
    <col min="15" max="15" width="24.109375" style="5" customWidth="1"/>
    <col min="16" max="16" width="13.88671875" style="5" customWidth="1"/>
    <col min="17" max="16384" width="9.109375" style="5"/>
  </cols>
  <sheetData>
    <row r="1" spans="1:15" s="12" customFormat="1" ht="13.8" x14ac:dyDescent="0.3">
      <c r="A1" s="211" t="s">
        <v>610</v>
      </c>
    </row>
    <row r="2" spans="1:15" s="12" customFormat="1" ht="13.8" x14ac:dyDescent="0.3">
      <c r="A2" s="196" t="s">
        <v>0</v>
      </c>
    </row>
    <row r="3" spans="1:15" ht="7.5" customHeight="1" x14ac:dyDescent="0.25">
      <c r="A3" s="62"/>
    </row>
    <row r="4" spans="1:15" ht="38.25" customHeight="1" x14ac:dyDescent="0.25">
      <c r="A4" s="89" t="s">
        <v>220</v>
      </c>
      <c r="B4" s="89" t="s">
        <v>611</v>
      </c>
      <c r="C4" s="89" t="s">
        <v>612</v>
      </c>
      <c r="D4" s="89" t="s">
        <v>289</v>
      </c>
      <c r="E4" s="89" t="s">
        <v>613</v>
      </c>
      <c r="F4" s="89" t="s">
        <v>614</v>
      </c>
      <c r="G4" s="89" t="s">
        <v>615</v>
      </c>
      <c r="H4" s="89" t="s">
        <v>616</v>
      </c>
      <c r="I4" s="89" t="s">
        <v>286</v>
      </c>
      <c r="J4" s="89" t="s">
        <v>285</v>
      </c>
      <c r="K4" s="89" t="s">
        <v>617</v>
      </c>
      <c r="L4" s="89" t="s">
        <v>287</v>
      </c>
      <c r="M4" s="89" t="s">
        <v>581</v>
      </c>
    </row>
    <row r="5" spans="1:15" s="137" customFormat="1" ht="15" customHeight="1" x14ac:dyDescent="0.3">
      <c r="A5" s="303" t="s">
        <v>172</v>
      </c>
      <c r="B5" s="334">
        <v>391.7708015848828</v>
      </c>
      <c r="C5" s="334">
        <v>378.64218226150581</v>
      </c>
      <c r="D5" s="334">
        <v>366</v>
      </c>
      <c r="E5" s="334">
        <f>AVERAGE(B5:D5)</f>
        <v>378.80432794879624</v>
      </c>
      <c r="F5" s="335">
        <f>B5-D5</f>
        <v>25.770801584882804</v>
      </c>
      <c r="G5" s="335">
        <f>F5/2</f>
        <v>12.885400792441402</v>
      </c>
      <c r="H5" s="335">
        <f>G5/(SQRT(3))</f>
        <v>7.439389616132261</v>
      </c>
      <c r="I5" s="336">
        <f>AVERAGE('4_FCD-1'!C7:C24,'4_FCD-1'!C30:C48,'4_FCD-1'!C54:C71)</f>
        <v>0.54545454545454564</v>
      </c>
      <c r="J5" s="302">
        <f>SQRT(1+(10/(2*I5))^2)/100</f>
        <v>9.221050795748699E-2</v>
      </c>
      <c r="K5" s="335">
        <f>J5*E5</f>
        <v>34.929739496652985</v>
      </c>
      <c r="L5" s="335">
        <f>H5+K5</f>
        <v>42.369129112785245</v>
      </c>
      <c r="M5" s="303" t="str">
        <f>ROUND(E5,0)&amp;" +/- "&amp;ROUND(L5,1)</f>
        <v>379 +/- 42.4</v>
      </c>
      <c r="O5" s="137">
        <f>L5/2</f>
        <v>21.184564556392623</v>
      </c>
    </row>
    <row r="6" spans="1:15" s="137" customFormat="1" ht="15" customHeight="1" x14ac:dyDescent="0.3">
      <c r="A6" s="303" t="s">
        <v>283</v>
      </c>
      <c r="B6" s="334">
        <v>395.44346235903771</v>
      </c>
      <c r="C6" s="334">
        <v>392.23940871685562</v>
      </c>
      <c r="D6" s="337" t="s">
        <v>290</v>
      </c>
      <c r="E6" s="334">
        <f t="shared" ref="E6:E7" si="0">AVERAGE(B6:D6)</f>
        <v>393.84143553794667</v>
      </c>
      <c r="F6" s="335">
        <f>B6-C6</f>
        <v>3.2040536421820889</v>
      </c>
      <c r="G6" s="335">
        <f>F6/2</f>
        <v>1.6020268210910444</v>
      </c>
      <c r="H6" s="335">
        <f>G6/(SQRT(2))</f>
        <v>1.1328040288362053</v>
      </c>
      <c r="I6" s="336">
        <f>AVERAGE('6_FCD-2A'!C7:C26,'6_FCD-2A'!C32:C51)</f>
        <v>0.97249999999999981</v>
      </c>
      <c r="J6" s="302">
        <f>SQRT(1+(10/(2*I6))^2)/100</f>
        <v>5.2377354232575835E-2</v>
      </c>
      <c r="K6" s="335">
        <f t="shared" ref="K6:K7" si="1">J6*E6</f>
        <v>20.628372380637213</v>
      </c>
      <c r="L6" s="335">
        <f t="shared" ref="L6:L7" si="2">H6+K6</f>
        <v>21.761176409473418</v>
      </c>
      <c r="M6" s="303" t="str">
        <f t="shared" ref="M6:M7" si="3">ROUND(E6,0)&amp;" +/- "&amp;ROUND(L6,1)</f>
        <v>394 +/- 21.8</v>
      </c>
      <c r="O6" s="137">
        <f t="shared" ref="O6:O7" si="4">L6/2</f>
        <v>10.880588204736709</v>
      </c>
    </row>
    <row r="7" spans="1:15" s="137" customFormat="1" ht="15" customHeight="1" x14ac:dyDescent="0.3">
      <c r="A7" s="145" t="s">
        <v>284</v>
      </c>
      <c r="B7" s="326">
        <v>386.81042365132583</v>
      </c>
      <c r="C7" s="326">
        <v>399.15422127400188</v>
      </c>
      <c r="D7" s="338" t="s">
        <v>290</v>
      </c>
      <c r="E7" s="326">
        <f t="shared" si="0"/>
        <v>392.98232246266389</v>
      </c>
      <c r="F7" s="339">
        <f>C7-B7</f>
        <v>12.34379762267605</v>
      </c>
      <c r="G7" s="339">
        <f>F7/2</f>
        <v>6.1718988113380249</v>
      </c>
      <c r="H7" s="339">
        <f>G7/(SQRT(2))</f>
        <v>4.3641915022943092</v>
      </c>
      <c r="I7" s="146">
        <f>AVERAGE('5_FCD-2'!C7:C26,'5_FCD-2'!C32:C51)</f>
        <v>0.76624999999999976</v>
      </c>
      <c r="J7" s="340">
        <f>SQRT(1+(10/(2*I7))^2)/100</f>
        <v>6.6014657926614304E-2</v>
      </c>
      <c r="K7" s="339">
        <f t="shared" si="1"/>
        <v>25.942593588579193</v>
      </c>
      <c r="L7" s="339">
        <f t="shared" si="2"/>
        <v>30.306785090873504</v>
      </c>
      <c r="M7" s="145" t="str">
        <f t="shared" si="3"/>
        <v>393 +/- 30.3</v>
      </c>
      <c r="O7" s="137">
        <f t="shared" si="4"/>
        <v>15.153392545436752</v>
      </c>
    </row>
    <row r="8" spans="1:15" ht="6.75" customHeight="1" x14ac:dyDescent="0.25">
      <c r="A8" s="104"/>
      <c r="B8" s="104"/>
      <c r="C8" s="104"/>
      <c r="D8" s="126"/>
      <c r="E8" s="104"/>
      <c r="G8" s="191"/>
      <c r="I8" s="76"/>
      <c r="J8" s="98"/>
      <c r="L8" s="183"/>
    </row>
    <row r="9" spans="1:15" x14ac:dyDescent="0.25">
      <c r="A9" s="217" t="s">
        <v>64</v>
      </c>
      <c r="B9" s="104"/>
      <c r="C9" s="104"/>
      <c r="D9" s="126"/>
      <c r="E9" s="104"/>
      <c r="G9" s="191"/>
      <c r="I9" s="76"/>
      <c r="J9" s="98"/>
      <c r="L9" s="183"/>
    </row>
    <row r="10" spans="1:15" x14ac:dyDescent="0.25">
      <c r="A10" s="5" t="s">
        <v>618</v>
      </c>
      <c r="B10" s="104"/>
      <c r="C10" s="104"/>
      <c r="D10" s="126"/>
      <c r="E10" s="104"/>
      <c r="H10" s="192"/>
      <c r="I10" s="76"/>
      <c r="J10" s="98"/>
      <c r="L10" s="183"/>
    </row>
    <row r="11" spans="1:15" x14ac:dyDescent="0.25">
      <c r="A11" s="217" t="s">
        <v>619</v>
      </c>
      <c r="B11" s="104"/>
      <c r="C11" s="104"/>
      <c r="D11" s="126"/>
      <c r="E11" s="197"/>
      <c r="H11" s="192"/>
      <c r="I11" s="98"/>
      <c r="J11" s="98"/>
      <c r="L11" s="183"/>
    </row>
    <row r="12" spans="1:15" x14ac:dyDescent="0.25">
      <c r="A12" s="217" t="s">
        <v>288</v>
      </c>
      <c r="B12" s="116"/>
      <c r="C12" s="98"/>
      <c r="D12" s="98"/>
      <c r="E12" s="98"/>
      <c r="H12" s="192"/>
      <c r="I12" s="98"/>
      <c r="J12" s="98"/>
      <c r="L12" s="183"/>
    </row>
    <row r="13" spans="1:15" x14ac:dyDescent="0.25">
      <c r="A13" s="217" t="s">
        <v>620</v>
      </c>
      <c r="B13" s="218"/>
      <c r="C13" s="218"/>
      <c r="D13" s="218"/>
      <c r="E13" s="197"/>
      <c r="F13" s="197"/>
      <c r="G13" s="197"/>
      <c r="H13" s="197"/>
      <c r="I13" s="197"/>
      <c r="J13" s="98"/>
      <c r="L13" s="183"/>
    </row>
    <row r="14" spans="1:15" ht="6.75" customHeight="1" x14ac:dyDescent="0.25">
      <c r="A14" s="217"/>
      <c r="B14" s="217"/>
      <c r="C14" s="217"/>
      <c r="D14" s="217"/>
      <c r="E14" s="104"/>
      <c r="F14" s="213"/>
      <c r="G14" s="213"/>
      <c r="H14" s="126"/>
      <c r="I14" s="104"/>
      <c r="J14" s="98"/>
      <c r="L14" s="183"/>
    </row>
    <row r="15" spans="1:15" x14ac:dyDescent="0.25">
      <c r="A15" s="217" t="s">
        <v>568</v>
      </c>
      <c r="B15" s="217"/>
      <c r="C15" s="217"/>
      <c r="D15" s="217"/>
      <c r="E15" s="104"/>
      <c r="F15" s="213"/>
      <c r="G15" s="213"/>
      <c r="H15" s="126"/>
      <c r="I15" s="104"/>
      <c r="J15" s="98"/>
      <c r="L15" s="183"/>
    </row>
    <row r="16" spans="1:15" x14ac:dyDescent="0.25">
      <c r="A16" s="217" t="s">
        <v>540</v>
      </c>
      <c r="B16" s="217"/>
      <c r="C16" s="217"/>
      <c r="D16" s="261"/>
      <c r="E16" s="104"/>
      <c r="F16" s="213"/>
      <c r="G16" s="213"/>
      <c r="H16" s="126"/>
      <c r="I16" s="104"/>
      <c r="J16" s="98"/>
      <c r="L16" s="183"/>
    </row>
    <row r="17" spans="1:17" x14ac:dyDescent="0.25">
      <c r="A17" s="217" t="s">
        <v>535</v>
      </c>
      <c r="B17" s="217"/>
      <c r="C17" s="217"/>
      <c r="D17" s="261"/>
      <c r="E17" s="104"/>
      <c r="F17" s="213"/>
      <c r="G17" s="213"/>
      <c r="H17" s="126"/>
      <c r="I17" s="104"/>
      <c r="J17" s="98"/>
      <c r="L17" s="183"/>
    </row>
    <row r="18" spans="1:17" x14ac:dyDescent="0.25">
      <c r="A18" s="217"/>
      <c r="B18" s="217"/>
      <c r="C18" s="217"/>
      <c r="D18" s="261"/>
      <c r="E18" s="104"/>
      <c r="F18" s="213"/>
      <c r="G18" s="213"/>
      <c r="H18" s="126"/>
      <c r="I18" s="104"/>
      <c r="J18" s="98"/>
      <c r="L18" s="183"/>
    </row>
    <row r="19" spans="1:17" x14ac:dyDescent="0.25">
      <c r="A19" s="217"/>
      <c r="B19" s="217"/>
      <c r="C19" s="217"/>
      <c r="D19" s="261"/>
      <c r="E19" s="104"/>
      <c r="F19" s="213"/>
      <c r="G19" s="213"/>
      <c r="H19" s="126"/>
      <c r="I19" s="104"/>
      <c r="J19" s="98"/>
      <c r="L19" s="183"/>
    </row>
    <row r="20" spans="1:17" ht="16.5" customHeight="1" x14ac:dyDescent="0.25">
      <c r="A20" s="217"/>
      <c r="B20" s="217"/>
      <c r="C20" s="217"/>
      <c r="D20" s="261"/>
      <c r="E20" s="104"/>
      <c r="F20" s="213"/>
      <c r="G20" s="213"/>
      <c r="H20" s="126"/>
      <c r="I20" s="104"/>
      <c r="J20" s="98"/>
      <c r="K20" s="191"/>
    </row>
    <row r="21" spans="1:17" x14ac:dyDescent="0.25">
      <c r="A21" s="104"/>
      <c r="B21" s="104"/>
      <c r="C21" s="104"/>
      <c r="D21" s="104"/>
      <c r="E21" s="104"/>
      <c r="F21" s="45"/>
      <c r="G21" s="213"/>
      <c r="H21" s="126"/>
      <c r="I21" s="104"/>
      <c r="J21" s="98"/>
      <c r="K21" s="191"/>
    </row>
    <row r="22" spans="1:17" x14ac:dyDescent="0.25">
      <c r="A22" s="104"/>
      <c r="B22" s="104"/>
      <c r="C22" s="104"/>
      <c r="D22" s="104"/>
      <c r="E22" s="197"/>
      <c r="F22" s="45"/>
      <c r="G22" s="45"/>
      <c r="H22" s="45"/>
      <c r="I22" s="104"/>
      <c r="J22" s="98"/>
    </row>
    <row r="23" spans="1:17" x14ac:dyDescent="0.25">
      <c r="A23" s="61"/>
      <c r="B23" s="98"/>
      <c r="C23" s="98"/>
      <c r="D23" s="98"/>
      <c r="E23" s="98"/>
      <c r="F23" s="98"/>
      <c r="G23" s="98"/>
      <c r="H23" s="98"/>
      <c r="I23" s="98"/>
      <c r="J23" s="98"/>
      <c r="L23" s="183"/>
    </row>
    <row r="24" spans="1:17" x14ac:dyDescent="0.25">
      <c r="A24" s="197"/>
      <c r="B24" s="197"/>
      <c r="C24" s="197"/>
      <c r="D24" s="197"/>
      <c r="E24" s="197"/>
      <c r="F24" s="197"/>
      <c r="G24" s="197"/>
      <c r="H24" s="197"/>
      <c r="I24" s="197"/>
      <c r="J24" s="98"/>
      <c r="L24" s="183"/>
    </row>
    <row r="25" spans="1:17" x14ac:dyDescent="0.25">
      <c r="A25" s="104"/>
      <c r="B25" s="104"/>
      <c r="C25" s="104"/>
      <c r="D25" s="126"/>
      <c r="E25" s="104"/>
      <c r="F25" s="213"/>
      <c r="G25" s="213"/>
      <c r="H25" s="126"/>
      <c r="I25" s="104"/>
      <c r="J25" s="98"/>
      <c r="L25" s="183"/>
    </row>
    <row r="26" spans="1:17" x14ac:dyDescent="0.25">
      <c r="A26" s="104"/>
      <c r="B26" s="104"/>
      <c r="C26" s="104"/>
      <c r="D26" s="126"/>
      <c r="E26" s="104"/>
      <c r="F26" s="213"/>
      <c r="G26" s="213"/>
      <c r="H26" s="126"/>
      <c r="I26" s="104"/>
      <c r="J26" s="98"/>
      <c r="L26" s="183"/>
    </row>
    <row r="27" spans="1:17" x14ac:dyDescent="0.25">
      <c r="A27" s="104"/>
      <c r="B27" s="104"/>
      <c r="C27" s="104"/>
      <c r="D27" s="126"/>
      <c r="E27" s="104"/>
      <c r="F27" s="213"/>
      <c r="G27" s="213"/>
      <c r="H27" s="126"/>
      <c r="I27" s="104"/>
      <c r="J27" s="98"/>
      <c r="L27" s="183"/>
    </row>
    <row r="28" spans="1:17" x14ac:dyDescent="0.25">
      <c r="A28" s="104"/>
      <c r="B28" s="104"/>
      <c r="C28" s="104"/>
      <c r="D28" s="126"/>
      <c r="E28" s="104"/>
      <c r="F28" s="213"/>
      <c r="G28" s="213"/>
      <c r="H28" s="126"/>
      <c r="I28" s="104"/>
      <c r="J28" s="98"/>
      <c r="L28" s="183"/>
    </row>
    <row r="29" spans="1:17" x14ac:dyDescent="0.25">
      <c r="A29" s="104"/>
      <c r="B29" s="104"/>
      <c r="C29" s="104"/>
      <c r="D29" s="126"/>
      <c r="E29" s="104"/>
      <c r="F29" s="213"/>
      <c r="G29" s="213"/>
      <c r="H29" s="126"/>
      <c r="I29" s="104"/>
      <c r="J29" s="98"/>
      <c r="L29" s="183"/>
    </row>
    <row r="30" spans="1:17" x14ac:dyDescent="0.25">
      <c r="A30" s="104"/>
      <c r="B30" s="104"/>
      <c r="C30" s="104"/>
      <c r="D30" s="126"/>
      <c r="E30" s="104"/>
      <c r="F30" s="213"/>
      <c r="G30" s="213"/>
      <c r="H30" s="126"/>
      <c r="I30" s="104"/>
      <c r="J30" s="98"/>
      <c r="K30" s="5">
        <f>2/E7</f>
        <v>5.0892874454677647E-3</v>
      </c>
      <c r="L30" s="183"/>
      <c r="P30" s="191"/>
    </row>
    <row r="31" spans="1:17" x14ac:dyDescent="0.25">
      <c r="A31" s="104"/>
      <c r="B31" s="104"/>
      <c r="C31" s="104"/>
      <c r="D31" s="126"/>
      <c r="E31" s="104"/>
      <c r="F31" s="213"/>
      <c r="G31" s="213"/>
      <c r="H31" s="126"/>
      <c r="I31" s="104"/>
      <c r="J31" s="98"/>
      <c r="L31" s="183"/>
      <c r="P31" s="191"/>
    </row>
    <row r="32" spans="1:17" x14ac:dyDescent="0.25">
      <c r="A32" s="104"/>
      <c r="B32" s="104"/>
      <c r="C32" s="104"/>
      <c r="D32" s="126"/>
      <c r="E32" s="104"/>
      <c r="F32" s="213"/>
      <c r="G32" s="213"/>
      <c r="H32" s="126"/>
      <c r="I32" s="104"/>
      <c r="J32" s="98"/>
      <c r="L32" s="183"/>
      <c r="Q32" s="192"/>
    </row>
    <row r="33" spans="1:17" x14ac:dyDescent="0.25">
      <c r="A33" s="104"/>
      <c r="B33" s="104"/>
      <c r="C33" s="104"/>
      <c r="D33" s="126"/>
      <c r="E33" s="104"/>
      <c r="F33" s="45"/>
      <c r="G33" s="213"/>
      <c r="H33" s="126"/>
      <c r="I33" s="104"/>
      <c r="J33" s="98"/>
      <c r="L33" s="183"/>
      <c r="Q33" s="192"/>
    </row>
    <row r="34" spans="1:17" x14ac:dyDescent="0.25">
      <c r="A34" s="104"/>
      <c r="B34" s="104"/>
      <c r="C34" s="104"/>
      <c r="D34" s="104"/>
      <c r="E34" s="197"/>
      <c r="F34" s="45"/>
      <c r="G34" s="45"/>
      <c r="H34" s="45"/>
      <c r="I34" s="104"/>
      <c r="J34" s="98"/>
      <c r="L34" s="183"/>
      <c r="Q34" s="192"/>
    </row>
    <row r="35" spans="1:17" x14ac:dyDescent="0.25">
      <c r="A35" s="61"/>
      <c r="B35" s="98"/>
      <c r="C35" s="98"/>
      <c r="D35" s="98"/>
      <c r="E35" s="98"/>
      <c r="F35" s="98"/>
      <c r="G35" s="98"/>
      <c r="H35" s="98"/>
      <c r="I35" s="98">
        <f>4/3.281</f>
        <v>1.2191405059433098</v>
      </c>
      <c r="J35" s="98"/>
      <c r="L35" s="183"/>
    </row>
    <row r="36" spans="1:17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98"/>
      <c r="L36" s="183"/>
    </row>
    <row r="37" spans="1:17" x14ac:dyDescent="0.25">
      <c r="A37" s="104"/>
      <c r="B37" s="104"/>
      <c r="C37" s="104"/>
      <c r="D37" s="104"/>
      <c r="E37" s="104"/>
      <c r="F37" s="126"/>
      <c r="G37" s="258"/>
      <c r="H37" s="126"/>
      <c r="I37" s="104"/>
      <c r="J37" s="98"/>
      <c r="L37" s="183"/>
    </row>
    <row r="38" spans="1:17" x14ac:dyDescent="0.25">
      <c r="A38" s="104"/>
      <c r="B38" s="104"/>
      <c r="C38" s="104"/>
      <c r="D38" s="104"/>
      <c r="E38" s="104"/>
      <c r="F38" s="126"/>
      <c r="G38" s="258"/>
      <c r="H38" s="126"/>
      <c r="I38" s="104"/>
      <c r="J38" s="98"/>
      <c r="L38" s="183"/>
    </row>
    <row r="39" spans="1:17" x14ac:dyDescent="0.25">
      <c r="A39" s="104"/>
      <c r="B39" s="104"/>
      <c r="C39" s="104"/>
      <c r="D39" s="104"/>
      <c r="E39" s="104"/>
      <c r="F39" s="126"/>
      <c r="G39" s="258"/>
      <c r="H39" s="126"/>
      <c r="I39" s="104"/>
      <c r="J39" s="98"/>
      <c r="L39" s="183"/>
    </row>
    <row r="40" spans="1:17" x14ac:dyDescent="0.25">
      <c r="A40" s="104"/>
      <c r="B40" s="104"/>
      <c r="C40" s="104"/>
      <c r="D40" s="104"/>
      <c r="E40" s="104"/>
      <c r="F40" s="126"/>
      <c r="G40" s="258"/>
      <c r="H40" s="126"/>
      <c r="I40" s="104"/>
      <c r="J40" s="98"/>
      <c r="L40" s="183"/>
    </row>
    <row r="41" spans="1:17" x14ac:dyDescent="0.25">
      <c r="A41" s="98"/>
      <c r="B41" s="104"/>
      <c r="C41" s="104"/>
      <c r="D41" s="197"/>
      <c r="E41" s="66"/>
      <c r="F41" s="66"/>
      <c r="G41" s="259"/>
      <c r="H41" s="66"/>
      <c r="I41" s="104"/>
      <c r="J41" s="98"/>
      <c r="L41" s="183"/>
    </row>
    <row r="42" spans="1:17" ht="18.75" customHeight="1" x14ac:dyDescent="0.25">
      <c r="A42" s="217"/>
      <c r="B42" s="104"/>
      <c r="C42" s="104"/>
      <c r="D42" s="104"/>
      <c r="E42" s="244"/>
      <c r="F42" s="213"/>
      <c r="G42" s="126"/>
      <c r="H42" s="126"/>
      <c r="I42" s="104"/>
      <c r="J42" s="98"/>
    </row>
    <row r="43" spans="1:17" x14ac:dyDescent="0.25">
      <c r="A43" s="61"/>
      <c r="B43" s="98"/>
      <c r="C43" s="98"/>
      <c r="D43" s="98"/>
      <c r="E43" s="98"/>
      <c r="F43" s="132"/>
      <c r="G43" s="98"/>
      <c r="H43" s="98"/>
      <c r="I43" s="98"/>
      <c r="J43" s="98"/>
    </row>
    <row r="44" spans="1:17" ht="35.25" customHeight="1" x14ac:dyDescent="0.25">
      <c r="A44" s="197"/>
      <c r="B44" s="197"/>
      <c r="C44" s="197"/>
      <c r="D44" s="197"/>
      <c r="E44" s="98"/>
      <c r="F44" s="197"/>
      <c r="G44" s="197"/>
      <c r="H44" s="197"/>
      <c r="I44" s="197"/>
      <c r="J44" s="98"/>
    </row>
    <row r="45" spans="1:17" x14ac:dyDescent="0.25">
      <c r="A45" s="104"/>
      <c r="B45" s="104"/>
      <c r="C45" s="104"/>
      <c r="D45" s="128"/>
      <c r="E45" s="98"/>
      <c r="F45" s="104"/>
      <c r="G45" s="104"/>
      <c r="H45" s="104"/>
      <c r="I45" s="126"/>
      <c r="J45" s="98"/>
      <c r="L45" s="123"/>
    </row>
    <row r="46" spans="1:17" x14ac:dyDescent="0.25">
      <c r="A46" s="104"/>
      <c r="B46" s="104"/>
      <c r="C46" s="104"/>
      <c r="D46" s="128"/>
      <c r="E46" s="104"/>
      <c r="F46" s="104"/>
      <c r="G46" s="104"/>
      <c r="H46" s="104"/>
      <c r="I46" s="126"/>
      <c r="J46" s="98"/>
      <c r="L46" s="183"/>
    </row>
    <row r="47" spans="1:17" x14ac:dyDescent="0.25">
      <c r="A47" s="104"/>
      <c r="B47" s="104"/>
      <c r="C47" s="104"/>
      <c r="D47" s="128"/>
      <c r="E47" s="104"/>
      <c r="F47" s="104"/>
      <c r="G47" s="104"/>
      <c r="H47" s="104"/>
      <c r="I47" s="126"/>
      <c r="J47" s="98"/>
      <c r="L47" s="183"/>
    </row>
    <row r="48" spans="1:17" x14ac:dyDescent="0.25">
      <c r="A48" s="104"/>
      <c r="B48" s="104"/>
      <c r="C48" s="104"/>
      <c r="D48" s="128"/>
      <c r="E48" s="104"/>
      <c r="F48" s="104"/>
      <c r="G48" s="104"/>
      <c r="H48" s="104"/>
      <c r="I48" s="126"/>
      <c r="J48" s="98"/>
      <c r="L48" s="183"/>
    </row>
    <row r="49" spans="1:12" x14ac:dyDescent="0.25">
      <c r="A49" s="197"/>
      <c r="B49" s="66"/>
      <c r="C49" s="260"/>
      <c r="D49" s="66"/>
      <c r="E49" s="104"/>
      <c r="F49" s="104"/>
      <c r="G49" s="104"/>
      <c r="H49" s="104"/>
      <c r="I49" s="126"/>
      <c r="J49" s="98"/>
      <c r="L49" s="183"/>
    </row>
    <row r="50" spans="1:12" x14ac:dyDescent="0.25">
      <c r="A50" s="104"/>
      <c r="B50" s="104"/>
      <c r="C50" s="104"/>
      <c r="D50" s="126"/>
      <c r="E50" s="104"/>
      <c r="F50" s="197"/>
      <c r="G50" s="66"/>
      <c r="H50" s="66"/>
      <c r="I50" s="66"/>
      <c r="J50" s="98"/>
      <c r="L50" s="183"/>
    </row>
    <row r="51" spans="1:12" x14ac:dyDescent="0.25">
      <c r="A51" s="104"/>
      <c r="B51" s="104"/>
      <c r="C51" s="104"/>
      <c r="D51" s="126"/>
      <c r="E51" s="104"/>
      <c r="F51" s="213"/>
      <c r="G51" s="45"/>
      <c r="H51" s="45"/>
      <c r="I51" s="30"/>
      <c r="J51" s="98"/>
      <c r="L51" s="183"/>
    </row>
    <row r="52" spans="1:12" x14ac:dyDescent="0.25">
      <c r="A52" s="61"/>
      <c r="B52" s="104"/>
      <c r="C52" s="104"/>
      <c r="D52" s="126"/>
      <c r="E52" s="104"/>
      <c r="F52" s="213"/>
      <c r="G52" s="45"/>
      <c r="H52" s="45"/>
      <c r="I52" s="30"/>
      <c r="J52" s="98"/>
      <c r="L52" s="183"/>
    </row>
    <row r="53" spans="1:12" x14ac:dyDescent="0.25">
      <c r="A53" s="197"/>
      <c r="B53" s="197"/>
      <c r="C53" s="197"/>
      <c r="D53" s="197"/>
      <c r="E53" s="197"/>
      <c r="F53" s="197"/>
      <c r="G53" s="197"/>
      <c r="H53" s="45"/>
      <c r="I53" s="30"/>
      <c r="J53" s="98"/>
      <c r="L53" s="183"/>
    </row>
    <row r="54" spans="1:12" x14ac:dyDescent="0.25">
      <c r="A54" s="104"/>
      <c r="B54" s="128"/>
      <c r="C54" s="126"/>
      <c r="D54" s="104"/>
      <c r="E54" s="258"/>
      <c r="F54" s="104"/>
      <c r="G54" s="104"/>
      <c r="H54" s="45"/>
      <c r="I54" s="30"/>
      <c r="J54" s="98"/>
      <c r="L54" s="183"/>
    </row>
    <row r="55" spans="1:12" x14ac:dyDescent="0.25">
      <c r="A55" s="104"/>
      <c r="B55" s="104"/>
      <c r="C55" s="104"/>
      <c r="D55" s="126"/>
      <c r="E55" s="104"/>
      <c r="F55" s="213"/>
      <c r="G55" s="45"/>
      <c r="H55" s="45"/>
      <c r="I55" s="30"/>
      <c r="J55" s="98"/>
      <c r="L55" s="183"/>
    </row>
    <row r="56" spans="1:12" x14ac:dyDescent="0.25">
      <c r="A56" s="333"/>
      <c r="B56" s="104"/>
      <c r="C56" s="104"/>
      <c r="D56" s="126"/>
      <c r="E56" s="104"/>
      <c r="F56" s="213"/>
      <c r="G56" s="45"/>
      <c r="H56" s="45"/>
      <c r="I56" s="30"/>
      <c r="J56" s="98"/>
      <c r="L56" s="183"/>
    </row>
    <row r="57" spans="1:12" x14ac:dyDescent="0.25">
      <c r="A57" s="104"/>
      <c r="B57" s="104"/>
      <c r="C57" s="104"/>
      <c r="D57" s="126"/>
      <c r="E57" s="104"/>
      <c r="F57" s="213"/>
      <c r="G57" s="45"/>
      <c r="H57" s="45"/>
      <c r="I57" s="30"/>
      <c r="J57" s="98"/>
      <c r="L57" s="183"/>
    </row>
    <row r="58" spans="1:12" x14ac:dyDescent="0.25">
      <c r="A58" s="104"/>
      <c r="B58" s="104"/>
      <c r="C58" s="104"/>
      <c r="D58" s="126"/>
      <c r="E58" s="104"/>
      <c r="F58" s="213"/>
      <c r="G58" s="45"/>
      <c r="H58" s="45"/>
      <c r="I58" s="30"/>
      <c r="J58" s="98"/>
      <c r="L58" s="183"/>
    </row>
    <row r="59" spans="1:12" x14ac:dyDescent="0.25">
      <c r="A59" s="104"/>
      <c r="B59" s="104"/>
      <c r="C59" s="104"/>
      <c r="D59" s="126"/>
      <c r="E59" s="104"/>
      <c r="F59" s="213"/>
      <c r="G59" s="45"/>
      <c r="H59" s="45"/>
      <c r="I59" s="30"/>
      <c r="J59" s="98"/>
      <c r="L59" s="183"/>
    </row>
    <row r="60" spans="1:12" x14ac:dyDescent="0.25">
      <c r="A60" s="104"/>
      <c r="B60" s="104"/>
      <c r="C60" s="104"/>
      <c r="D60" s="126"/>
      <c r="E60" s="104"/>
      <c r="F60" s="213"/>
      <c r="G60" s="45"/>
      <c r="H60" s="45"/>
      <c r="I60" s="30"/>
      <c r="J60" s="98"/>
      <c r="L60" s="183"/>
    </row>
    <row r="61" spans="1:12" x14ac:dyDescent="0.25">
      <c r="A61" s="104"/>
      <c r="B61" s="104"/>
      <c r="C61" s="104"/>
      <c r="D61" s="126"/>
      <c r="E61" s="104"/>
      <c r="F61" s="213"/>
      <c r="G61" s="45"/>
      <c r="H61" s="45"/>
      <c r="I61" s="30"/>
      <c r="J61" s="98"/>
      <c r="L61" s="183"/>
    </row>
    <row r="62" spans="1:12" x14ac:dyDescent="0.25">
      <c r="A62" s="104"/>
      <c r="B62" s="104"/>
      <c r="C62" s="104"/>
      <c r="D62" s="126"/>
      <c r="E62" s="104"/>
      <c r="F62" s="213"/>
      <c r="G62" s="45"/>
      <c r="H62" s="45"/>
      <c r="I62" s="30"/>
      <c r="J62" s="98"/>
      <c r="L62" s="183"/>
    </row>
    <row r="63" spans="1:12" x14ac:dyDescent="0.25">
      <c r="A63" s="4"/>
      <c r="B63" s="4"/>
      <c r="C63" s="4"/>
      <c r="D63" s="122"/>
      <c r="E63" s="4"/>
      <c r="F63" s="181"/>
      <c r="G63" s="182"/>
      <c r="H63" s="182"/>
      <c r="I63" s="2"/>
      <c r="L63" s="183"/>
    </row>
    <row r="64" spans="1:12" x14ac:dyDescent="0.25">
      <c r="A64" s="111"/>
      <c r="B64" s="111"/>
      <c r="C64" s="111"/>
      <c r="D64" s="111"/>
      <c r="E64" s="34"/>
      <c r="F64" s="185"/>
      <c r="G64" s="193"/>
      <c r="H64" s="193"/>
      <c r="I64" s="111"/>
      <c r="L64" s="183"/>
    </row>
    <row r="65" spans="5:12" ht="19.5" customHeight="1" thickBot="1" x14ac:dyDescent="0.3">
      <c r="E65" s="179"/>
      <c r="F65" s="179"/>
      <c r="G65" s="179"/>
      <c r="H65" s="179"/>
      <c r="L65" s="183"/>
    </row>
    <row r="66" spans="5:12" x14ac:dyDescent="0.25">
      <c r="F66" s="195"/>
      <c r="G66" s="195"/>
      <c r="H66" s="210"/>
    </row>
    <row r="67" spans="5:12" x14ac:dyDescent="0.25">
      <c r="F67" s="3"/>
      <c r="G67" s="3"/>
      <c r="H67" s="195"/>
      <c r="I67" s="195"/>
    </row>
    <row r="68" spans="5:12" x14ac:dyDescent="0.25">
      <c r="F68" s="3"/>
      <c r="G68" s="3"/>
      <c r="H68" s="3"/>
      <c r="I68" s="3"/>
    </row>
  </sheetData>
  <pageMargins left="0.7" right="0.7" top="0.75" bottom="0.75" header="0.3" footer="0.3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"/>
  <sheetViews>
    <sheetView workbookViewId="0">
      <selection activeCell="D19" sqref="D19"/>
    </sheetView>
  </sheetViews>
  <sheetFormatPr defaultRowHeight="14.4" x14ac:dyDescent="0.3"/>
  <cols>
    <col min="2" max="2" width="44.6640625" customWidth="1"/>
    <col min="3" max="3" width="13.6640625" customWidth="1"/>
  </cols>
  <sheetData>
    <row r="1" spans="1:11" x14ac:dyDescent="0.3">
      <c r="A1" t="s">
        <v>118</v>
      </c>
      <c r="B1" t="s">
        <v>119</v>
      </c>
      <c r="C1" t="s">
        <v>120</v>
      </c>
      <c r="D1" t="s">
        <v>124</v>
      </c>
      <c r="I1" t="s">
        <v>121</v>
      </c>
      <c r="J1" t="s">
        <v>119</v>
      </c>
      <c r="K1" t="s">
        <v>120</v>
      </c>
    </row>
    <row r="2" spans="1:11" x14ac:dyDescent="0.3">
      <c r="A2">
        <v>1</v>
      </c>
      <c r="B2" t="s">
        <v>123</v>
      </c>
      <c r="C2" t="s">
        <v>122</v>
      </c>
      <c r="D2" t="s">
        <v>125</v>
      </c>
      <c r="I2">
        <v>1</v>
      </c>
      <c r="J2" t="s">
        <v>192</v>
      </c>
    </row>
    <row r="3" spans="1:11" x14ac:dyDescent="0.3">
      <c r="A3">
        <v>2</v>
      </c>
      <c r="B3" t="s">
        <v>193</v>
      </c>
      <c r="C3" t="s">
        <v>194</v>
      </c>
      <c r="I3">
        <v>2</v>
      </c>
      <c r="J3" t="s">
        <v>267</v>
      </c>
    </row>
    <row r="4" spans="1:11" x14ac:dyDescent="0.3">
      <c r="A4">
        <v>3</v>
      </c>
      <c r="B4" t="s">
        <v>276</v>
      </c>
      <c r="I4">
        <v>3</v>
      </c>
      <c r="J4" t="s">
        <v>195</v>
      </c>
    </row>
    <row r="5" spans="1:11" x14ac:dyDescent="0.3">
      <c r="A5">
        <v>4</v>
      </c>
      <c r="B5" t="s">
        <v>277</v>
      </c>
      <c r="I5">
        <v>4</v>
      </c>
      <c r="J5" t="s">
        <v>271</v>
      </c>
    </row>
    <row r="6" spans="1:11" x14ac:dyDescent="0.3">
      <c r="A6">
        <v>5</v>
      </c>
      <c r="B6" t="s">
        <v>292</v>
      </c>
      <c r="I6">
        <v>5</v>
      </c>
      <c r="J6" t="s">
        <v>272</v>
      </c>
    </row>
    <row r="7" spans="1:11" x14ac:dyDescent="0.3">
      <c r="A7">
        <v>6</v>
      </c>
      <c r="B7" t="s">
        <v>293</v>
      </c>
      <c r="I7">
        <v>6</v>
      </c>
      <c r="J7" t="s">
        <v>283</v>
      </c>
    </row>
    <row r="8" spans="1:11" x14ac:dyDescent="0.3">
      <c r="A8">
        <v>7</v>
      </c>
      <c r="B8" t="s">
        <v>291</v>
      </c>
      <c r="I8">
        <v>7</v>
      </c>
      <c r="J8" t="s">
        <v>273</v>
      </c>
    </row>
    <row r="9" spans="1:11" x14ac:dyDescent="0.3">
      <c r="A9">
        <v>8</v>
      </c>
      <c r="I9">
        <v>8</v>
      </c>
      <c r="J9" t="s">
        <v>274</v>
      </c>
    </row>
    <row r="10" spans="1:11" x14ac:dyDescent="0.3">
      <c r="A10">
        <v>9</v>
      </c>
      <c r="I10">
        <v>9</v>
      </c>
      <c r="J10" t="s">
        <v>319</v>
      </c>
    </row>
    <row r="11" spans="1:11" x14ac:dyDescent="0.3">
      <c r="A11">
        <v>10</v>
      </c>
      <c r="I11">
        <v>10</v>
      </c>
      <c r="J11" t="s">
        <v>320</v>
      </c>
    </row>
    <row r="12" spans="1:11" x14ac:dyDescent="0.3">
      <c r="A12">
        <v>11</v>
      </c>
      <c r="I12">
        <v>11</v>
      </c>
      <c r="J12" t="s">
        <v>275</v>
      </c>
    </row>
    <row r="13" spans="1:11" x14ac:dyDescent="0.3">
      <c r="A13">
        <v>12</v>
      </c>
      <c r="I13">
        <v>12</v>
      </c>
      <c r="J13" t="s">
        <v>321</v>
      </c>
    </row>
    <row r="14" spans="1:11" x14ac:dyDescent="0.3">
      <c r="A14">
        <v>13</v>
      </c>
    </row>
    <row r="15" spans="1:11" x14ac:dyDescent="0.3">
      <c r="A15">
        <v>14</v>
      </c>
    </row>
    <row r="16" spans="1:11" x14ac:dyDescent="0.3">
      <c r="A16">
        <v>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4"/>
  <sheetViews>
    <sheetView workbookViewId="0">
      <selection activeCell="G35" sqref="G35"/>
    </sheetView>
  </sheetViews>
  <sheetFormatPr defaultRowHeight="14.4" x14ac:dyDescent="0.3"/>
  <sheetData>
    <row r="1" spans="1:9" x14ac:dyDescent="0.3">
      <c r="A1" t="s">
        <v>294</v>
      </c>
    </row>
    <row r="4" spans="1:9" x14ac:dyDescent="0.3">
      <c r="A4" t="s">
        <v>295</v>
      </c>
      <c r="F4" t="s">
        <v>295</v>
      </c>
    </row>
    <row r="5" spans="1:9" x14ac:dyDescent="0.3">
      <c r="A5" t="s">
        <v>243</v>
      </c>
      <c r="B5">
        <v>800</v>
      </c>
      <c r="F5" t="s">
        <v>243</v>
      </c>
      <c r="G5">
        <v>10</v>
      </c>
    </row>
    <row r="6" spans="1:9" x14ac:dyDescent="0.3">
      <c r="A6" t="s">
        <v>244</v>
      </c>
      <c r="B6">
        <v>1</v>
      </c>
      <c r="F6" t="s">
        <v>244</v>
      </c>
      <c r="G6">
        <v>3</v>
      </c>
    </row>
    <row r="7" spans="1:9" x14ac:dyDescent="0.3">
      <c r="A7" t="s">
        <v>297</v>
      </c>
      <c r="B7" t="s">
        <v>298</v>
      </c>
      <c r="C7">
        <v>2</v>
      </c>
      <c r="D7">
        <f>C7/C8</f>
        <v>0.13333333333333333</v>
      </c>
      <c r="F7" t="s">
        <v>297</v>
      </c>
      <c r="G7" t="s">
        <v>298</v>
      </c>
      <c r="H7">
        <v>2</v>
      </c>
      <c r="I7">
        <f>H7/H8</f>
        <v>0.13333333333333333</v>
      </c>
    </row>
    <row r="8" spans="1:9" x14ac:dyDescent="0.3">
      <c r="B8" t="s">
        <v>299</v>
      </c>
      <c r="C8">
        <v>15</v>
      </c>
      <c r="G8" t="s">
        <v>299</v>
      </c>
      <c r="H8">
        <v>15</v>
      </c>
    </row>
    <row r="9" spans="1:9" x14ac:dyDescent="0.3">
      <c r="A9" t="s">
        <v>300</v>
      </c>
      <c r="B9">
        <v>10</v>
      </c>
      <c r="F9" t="s">
        <v>300</v>
      </c>
      <c r="G9">
        <v>10</v>
      </c>
    </row>
    <row r="11" spans="1:9" x14ac:dyDescent="0.3">
      <c r="A11" t="s">
        <v>301</v>
      </c>
      <c r="B11">
        <f>B5*B6*D7</f>
        <v>106.66666666666667</v>
      </c>
      <c r="F11" t="s">
        <v>301</v>
      </c>
      <c r="G11">
        <f>G5*G6*I7</f>
        <v>4</v>
      </c>
    </row>
    <row r="13" spans="1:9" x14ac:dyDescent="0.3">
      <c r="A13" t="s">
        <v>302</v>
      </c>
      <c r="B13">
        <f>B11*1000</f>
        <v>106666.66666666667</v>
      </c>
      <c r="F13" t="s">
        <v>302</v>
      </c>
      <c r="G13">
        <f>G11*1000</f>
        <v>4000</v>
      </c>
    </row>
    <row r="14" spans="1:9" x14ac:dyDescent="0.3">
      <c r="A14" t="s">
        <v>226</v>
      </c>
      <c r="B14">
        <f>B13/86400</f>
        <v>1.2345679012345681</v>
      </c>
      <c r="F14" t="s">
        <v>226</v>
      </c>
      <c r="G14">
        <f>G13/86400</f>
        <v>4.6296296296296294E-2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L219"/>
  <sheetViews>
    <sheetView workbookViewId="0">
      <pane xSplit="18132" ySplit="3600" topLeftCell="P200" activePane="bottomLeft"/>
      <selection activeCell="B237" sqref="B237"/>
      <selection pane="topRight" activeCell="AM1" sqref="AM1:XFD1048576"/>
      <selection pane="bottomLeft" activeCell="E223" sqref="E223"/>
      <selection pane="bottomRight" activeCell="P220" sqref="P220"/>
    </sheetView>
  </sheetViews>
  <sheetFormatPr defaultColWidth="9.33203125" defaultRowHeight="14.4" x14ac:dyDescent="0.3"/>
  <cols>
    <col min="1" max="1" width="19.88671875" customWidth="1"/>
    <col min="2" max="2" width="13.44140625" bestFit="1" customWidth="1"/>
    <col min="3" max="5" width="16.5546875" bestFit="1" customWidth="1"/>
    <col min="6" max="6" width="14.6640625" bestFit="1" customWidth="1"/>
    <col min="7" max="7" width="15.44140625" bestFit="1" customWidth="1"/>
    <col min="8" max="8" width="13.5546875" bestFit="1" customWidth="1"/>
    <col min="9" max="9" width="14.109375" bestFit="1" customWidth="1"/>
    <col min="10" max="10" width="16" bestFit="1" customWidth="1"/>
    <col min="11" max="11" width="12.109375" bestFit="1" customWidth="1"/>
    <col min="12" max="12" width="16.44140625" bestFit="1" customWidth="1"/>
    <col min="13" max="13" width="11" bestFit="1" customWidth="1"/>
    <col min="14" max="14" width="10" bestFit="1" customWidth="1"/>
    <col min="15" max="15" width="12.6640625" bestFit="1" customWidth="1"/>
    <col min="16" max="16" width="34" bestFit="1" customWidth="1"/>
    <col min="17" max="17" width="24.44140625" bestFit="1" customWidth="1"/>
    <col min="18" max="18" width="22.88671875" bestFit="1" customWidth="1"/>
    <col min="19" max="19" width="23.33203125" bestFit="1" customWidth="1"/>
    <col min="20" max="20" width="21.88671875" bestFit="1" customWidth="1"/>
    <col min="21" max="21" width="15" bestFit="1" customWidth="1"/>
    <col min="22" max="22" width="26.44140625" bestFit="1" customWidth="1"/>
    <col min="23" max="23" width="24.88671875" bestFit="1" customWidth="1"/>
    <col min="24" max="24" width="17.6640625" bestFit="1" customWidth="1"/>
    <col min="25" max="25" width="22.88671875" bestFit="1" customWidth="1"/>
    <col min="26" max="26" width="28" bestFit="1" customWidth="1"/>
    <col min="27" max="27" width="30.44140625" bestFit="1" customWidth="1"/>
    <col min="28" max="28" width="24.44140625" bestFit="1" customWidth="1"/>
    <col min="29" max="29" width="18.6640625" bestFit="1" customWidth="1"/>
    <col min="30" max="30" width="14.5546875" bestFit="1" customWidth="1"/>
    <col min="31" max="31" width="18.88671875" bestFit="1" customWidth="1"/>
    <col min="32" max="32" width="14.6640625" bestFit="1" customWidth="1"/>
    <col min="33" max="33" width="20.6640625" bestFit="1" customWidth="1"/>
    <col min="34" max="34" width="11.6640625" bestFit="1" customWidth="1"/>
    <col min="35" max="35" width="12" bestFit="1" customWidth="1"/>
    <col min="36" max="36" width="16.5546875" bestFit="1" customWidth="1"/>
    <col min="37" max="37" width="9.44140625" bestFit="1" customWidth="1"/>
    <col min="38" max="38" width="9" bestFit="1" customWidth="1"/>
    <col min="39" max="39" width="13.33203125" bestFit="1" customWidth="1"/>
    <col min="40" max="40" width="11.44140625" bestFit="1" customWidth="1"/>
  </cols>
  <sheetData>
    <row r="1" spans="1:38" x14ac:dyDescent="0.3">
      <c r="A1" t="s">
        <v>523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  <c r="G1" t="s">
        <v>384</v>
      </c>
      <c r="H1" t="s">
        <v>385</v>
      </c>
      <c r="I1" t="s">
        <v>386</v>
      </c>
      <c r="J1" t="s">
        <v>387</v>
      </c>
      <c r="K1" t="s">
        <v>388</v>
      </c>
      <c r="L1" t="s">
        <v>389</v>
      </c>
      <c r="M1" t="s">
        <v>390</v>
      </c>
      <c r="N1" t="s">
        <v>391</v>
      </c>
      <c r="O1" t="s">
        <v>392</v>
      </c>
      <c r="P1" t="s">
        <v>393</v>
      </c>
      <c r="Q1" t="s">
        <v>394</v>
      </c>
      <c r="R1" t="s">
        <v>395</v>
      </c>
      <c r="S1" t="s">
        <v>396</v>
      </c>
      <c r="T1" t="s">
        <v>397</v>
      </c>
      <c r="U1" t="s">
        <v>398</v>
      </c>
      <c r="V1" t="s">
        <v>399</v>
      </c>
      <c r="W1" t="s">
        <v>400</v>
      </c>
      <c r="X1" t="s">
        <v>401</v>
      </c>
      <c r="Y1" t="s">
        <v>402</v>
      </c>
      <c r="Z1" t="s">
        <v>403</v>
      </c>
      <c r="AA1" t="s">
        <v>404</v>
      </c>
      <c r="AB1" t="s">
        <v>405</v>
      </c>
      <c r="AC1" t="s">
        <v>406</v>
      </c>
      <c r="AD1" t="s">
        <v>407</v>
      </c>
      <c r="AE1" t="s">
        <v>408</v>
      </c>
      <c r="AF1" t="s">
        <v>409</v>
      </c>
      <c r="AG1" t="s">
        <v>410</v>
      </c>
      <c r="AH1" t="s">
        <v>411</v>
      </c>
      <c r="AI1" t="s">
        <v>412</v>
      </c>
      <c r="AJ1" t="s">
        <v>413</v>
      </c>
      <c r="AK1" t="s">
        <v>414</v>
      </c>
      <c r="AL1" t="s">
        <v>415</v>
      </c>
    </row>
    <row r="2" spans="1:38" x14ac:dyDescent="0.3">
      <c r="A2" t="str">
        <f>E2&amp;P2</f>
        <v>CH15-106-MW002Conductivity, Field</v>
      </c>
      <c r="B2">
        <v>1650156</v>
      </c>
      <c r="C2" t="s">
        <v>416</v>
      </c>
      <c r="D2" t="s">
        <v>134</v>
      </c>
      <c r="E2" t="s">
        <v>134</v>
      </c>
      <c r="F2" s="88">
        <v>42523</v>
      </c>
      <c r="G2">
        <v>-999</v>
      </c>
      <c r="H2">
        <v>-999</v>
      </c>
      <c r="I2" t="s">
        <v>417</v>
      </c>
      <c r="J2" t="s">
        <v>418</v>
      </c>
      <c r="K2" t="s">
        <v>426</v>
      </c>
      <c r="N2">
        <v>100365175</v>
      </c>
      <c r="O2" t="s">
        <v>427</v>
      </c>
      <c r="P2" t="s">
        <v>428</v>
      </c>
      <c r="Q2">
        <v>0.18099999999999999</v>
      </c>
      <c r="R2" t="s">
        <v>307</v>
      </c>
      <c r="T2" t="s">
        <v>145</v>
      </c>
      <c r="U2" t="s">
        <v>145</v>
      </c>
      <c r="AD2">
        <v>0.18099999999999999</v>
      </c>
      <c r="AE2">
        <v>0.18099999999999999</v>
      </c>
      <c r="AF2" t="s">
        <v>307</v>
      </c>
      <c r="AG2" t="s">
        <v>424</v>
      </c>
      <c r="AH2">
        <v>584985.64300000004</v>
      </c>
      <c r="AI2">
        <v>6916445.9579999996</v>
      </c>
      <c r="AJ2">
        <v>2321.16</v>
      </c>
      <c r="AK2">
        <v>2321.16</v>
      </c>
      <c r="AL2">
        <v>2321.16</v>
      </c>
    </row>
    <row r="3" spans="1:38" x14ac:dyDescent="0.3">
      <c r="A3" t="str">
        <f t="shared" ref="A3:A66" si="0">E3&amp;P3</f>
        <v>CH15-106-MW002Dissolved Oxygen, Field</v>
      </c>
      <c r="B3">
        <v>1650156</v>
      </c>
      <c r="C3" t="s">
        <v>416</v>
      </c>
      <c r="D3" t="s">
        <v>134</v>
      </c>
      <c r="E3" t="s">
        <v>134</v>
      </c>
      <c r="F3" s="88">
        <v>42523</v>
      </c>
      <c r="G3">
        <v>-999</v>
      </c>
      <c r="H3">
        <v>-999</v>
      </c>
      <c r="I3" t="s">
        <v>417</v>
      </c>
      <c r="J3" t="s">
        <v>418</v>
      </c>
      <c r="K3" t="s">
        <v>426</v>
      </c>
      <c r="N3">
        <v>100365175</v>
      </c>
      <c r="O3" t="s">
        <v>429</v>
      </c>
      <c r="P3" t="s">
        <v>430</v>
      </c>
      <c r="Q3">
        <v>9.44</v>
      </c>
      <c r="R3" t="s">
        <v>309</v>
      </c>
      <c r="T3" t="s">
        <v>145</v>
      </c>
      <c r="U3" t="s">
        <v>145</v>
      </c>
      <c r="AD3">
        <v>9.44</v>
      </c>
      <c r="AE3">
        <v>9.44</v>
      </c>
      <c r="AF3" t="s">
        <v>309</v>
      </c>
      <c r="AG3" t="s">
        <v>424</v>
      </c>
      <c r="AH3">
        <v>584985.64300000004</v>
      </c>
      <c r="AI3">
        <v>6916445.9579999996</v>
      </c>
      <c r="AJ3">
        <v>2321.16</v>
      </c>
      <c r="AK3">
        <v>2321.16</v>
      </c>
      <c r="AL3">
        <v>2321.16</v>
      </c>
    </row>
    <row r="4" spans="1:38" x14ac:dyDescent="0.3">
      <c r="A4" t="str">
        <f t="shared" si="0"/>
        <v>CH15-106-MW002Oxidation Reduction Potential, Field</v>
      </c>
      <c r="B4">
        <v>1650156</v>
      </c>
      <c r="C4" t="s">
        <v>416</v>
      </c>
      <c r="D4" t="s">
        <v>134</v>
      </c>
      <c r="E4" t="s">
        <v>134</v>
      </c>
      <c r="F4" s="88">
        <v>42523</v>
      </c>
      <c r="G4">
        <v>-999</v>
      </c>
      <c r="H4">
        <v>-999</v>
      </c>
      <c r="I4" t="s">
        <v>417</v>
      </c>
      <c r="J4" t="s">
        <v>418</v>
      </c>
      <c r="K4" t="s">
        <v>426</v>
      </c>
      <c r="N4">
        <v>100365175</v>
      </c>
      <c r="O4" t="s">
        <v>431</v>
      </c>
      <c r="P4" t="s">
        <v>432</v>
      </c>
      <c r="Q4">
        <v>173.6</v>
      </c>
      <c r="R4" t="s">
        <v>311</v>
      </c>
      <c r="T4" t="s">
        <v>145</v>
      </c>
      <c r="U4" t="s">
        <v>145</v>
      </c>
      <c r="AD4">
        <v>173.6</v>
      </c>
      <c r="AE4">
        <v>173.6</v>
      </c>
      <c r="AF4" t="s">
        <v>311</v>
      </c>
      <c r="AG4" t="s">
        <v>424</v>
      </c>
      <c r="AH4">
        <v>584985.64300000004</v>
      </c>
      <c r="AI4">
        <v>6916445.9579999996</v>
      </c>
      <c r="AJ4">
        <v>2321.16</v>
      </c>
      <c r="AK4">
        <v>2321.16</v>
      </c>
      <c r="AL4">
        <v>2321.16</v>
      </c>
    </row>
    <row r="5" spans="1:38" x14ac:dyDescent="0.3">
      <c r="A5" t="str">
        <f t="shared" si="0"/>
        <v>CH15-106-MW002pH, Field</v>
      </c>
      <c r="B5">
        <v>1650156</v>
      </c>
      <c r="C5" t="s">
        <v>416</v>
      </c>
      <c r="D5" t="s">
        <v>134</v>
      </c>
      <c r="E5" t="s">
        <v>134</v>
      </c>
      <c r="F5" s="88">
        <v>42523</v>
      </c>
      <c r="G5">
        <v>-999</v>
      </c>
      <c r="H5">
        <v>-999</v>
      </c>
      <c r="I5" t="s">
        <v>417</v>
      </c>
      <c r="J5" t="s">
        <v>418</v>
      </c>
      <c r="K5" t="s">
        <v>426</v>
      </c>
      <c r="N5">
        <v>100365175</v>
      </c>
      <c r="O5" t="s">
        <v>433</v>
      </c>
      <c r="P5" t="s">
        <v>326</v>
      </c>
      <c r="Q5">
        <v>7.19</v>
      </c>
      <c r="R5" t="s">
        <v>313</v>
      </c>
      <c r="T5" t="s">
        <v>145</v>
      </c>
      <c r="U5" t="s">
        <v>145</v>
      </c>
      <c r="AD5">
        <v>7.19</v>
      </c>
      <c r="AE5">
        <v>7.19</v>
      </c>
      <c r="AF5" t="s">
        <v>313</v>
      </c>
      <c r="AG5" t="s">
        <v>424</v>
      </c>
      <c r="AH5">
        <v>584985.64300000004</v>
      </c>
      <c r="AI5">
        <v>6916445.9579999996</v>
      </c>
      <c r="AJ5">
        <v>2321.16</v>
      </c>
      <c r="AK5">
        <v>2321.16</v>
      </c>
      <c r="AL5">
        <v>2321.16</v>
      </c>
    </row>
    <row r="6" spans="1:38" x14ac:dyDescent="0.3">
      <c r="A6" t="str">
        <f t="shared" si="0"/>
        <v>CH15-106-MW002Temperature, Field</v>
      </c>
      <c r="B6">
        <v>1650156</v>
      </c>
      <c r="C6" t="s">
        <v>416</v>
      </c>
      <c r="D6" t="s">
        <v>134</v>
      </c>
      <c r="E6" t="s">
        <v>134</v>
      </c>
      <c r="F6" s="88">
        <v>42523</v>
      </c>
      <c r="G6">
        <v>-999</v>
      </c>
      <c r="H6">
        <v>-999</v>
      </c>
      <c r="I6" t="s">
        <v>417</v>
      </c>
      <c r="J6" t="s">
        <v>418</v>
      </c>
      <c r="K6" t="s">
        <v>426</v>
      </c>
      <c r="N6">
        <v>100365175</v>
      </c>
      <c r="O6" t="s">
        <v>434</v>
      </c>
      <c r="P6" t="s">
        <v>328</v>
      </c>
      <c r="Q6">
        <v>3.65</v>
      </c>
      <c r="R6" t="s">
        <v>315</v>
      </c>
      <c r="T6" t="s">
        <v>145</v>
      </c>
      <c r="U6" t="s">
        <v>145</v>
      </c>
      <c r="AD6">
        <v>3.65</v>
      </c>
      <c r="AE6">
        <v>3.65</v>
      </c>
      <c r="AF6" t="s">
        <v>315</v>
      </c>
      <c r="AG6" t="s">
        <v>424</v>
      </c>
      <c r="AH6">
        <v>584985.64300000004</v>
      </c>
      <c r="AI6">
        <v>6916445.9579999996</v>
      </c>
      <c r="AJ6">
        <v>2321.16</v>
      </c>
      <c r="AK6">
        <v>2321.16</v>
      </c>
      <c r="AL6">
        <v>2321.16</v>
      </c>
    </row>
    <row r="7" spans="1:38" x14ac:dyDescent="0.3">
      <c r="A7" t="str">
        <f t="shared" si="0"/>
        <v>CH15-106-MW002Turbidity, Field</v>
      </c>
      <c r="B7">
        <v>1650156</v>
      </c>
      <c r="C7" t="s">
        <v>416</v>
      </c>
      <c r="D7" t="s">
        <v>134</v>
      </c>
      <c r="E7" t="s">
        <v>134</v>
      </c>
      <c r="F7" s="88">
        <v>42523</v>
      </c>
      <c r="G7">
        <v>-999</v>
      </c>
      <c r="H7">
        <v>-999</v>
      </c>
      <c r="I7" t="s">
        <v>417</v>
      </c>
      <c r="J7" t="s">
        <v>418</v>
      </c>
      <c r="K7" t="s">
        <v>426</v>
      </c>
      <c r="N7">
        <v>100365175</v>
      </c>
      <c r="O7" t="s">
        <v>435</v>
      </c>
      <c r="P7" t="s">
        <v>436</v>
      </c>
      <c r="Q7">
        <v>18.2</v>
      </c>
      <c r="R7" t="s">
        <v>317</v>
      </c>
      <c r="T7" t="s">
        <v>145</v>
      </c>
      <c r="U7" t="s">
        <v>145</v>
      </c>
      <c r="AD7">
        <v>18.2</v>
      </c>
      <c r="AE7">
        <v>18.2</v>
      </c>
      <c r="AF7" t="s">
        <v>317</v>
      </c>
      <c r="AG7" t="s">
        <v>424</v>
      </c>
      <c r="AH7">
        <v>584985.64300000004</v>
      </c>
      <c r="AI7">
        <v>6916445.9579999996</v>
      </c>
      <c r="AJ7">
        <v>2321.16</v>
      </c>
      <c r="AK7">
        <v>2321.16</v>
      </c>
      <c r="AL7">
        <v>2321.16</v>
      </c>
    </row>
    <row r="8" spans="1:38" x14ac:dyDescent="0.3">
      <c r="A8" t="str">
        <f t="shared" si="0"/>
        <v>CH15-106-MW002Mercury, dissolved</v>
      </c>
      <c r="B8">
        <v>1650156</v>
      </c>
      <c r="C8" t="s">
        <v>416</v>
      </c>
      <c r="D8" t="s">
        <v>134</v>
      </c>
      <c r="E8" t="s">
        <v>134</v>
      </c>
      <c r="F8" s="88">
        <v>42523</v>
      </c>
      <c r="G8">
        <v>6.1</v>
      </c>
      <c r="H8">
        <v>9.14</v>
      </c>
      <c r="I8" t="s">
        <v>417</v>
      </c>
      <c r="J8" t="s">
        <v>418</v>
      </c>
      <c r="K8" t="s">
        <v>419</v>
      </c>
      <c r="L8" t="s">
        <v>437</v>
      </c>
      <c r="M8" t="s">
        <v>421</v>
      </c>
      <c r="N8">
        <v>100394518</v>
      </c>
      <c r="O8" t="s">
        <v>438</v>
      </c>
      <c r="P8" t="s">
        <v>439</v>
      </c>
      <c r="Q8" s="87">
        <v>5.0000000000000004E-6</v>
      </c>
      <c r="R8" t="s">
        <v>309</v>
      </c>
      <c r="S8">
        <v>5.0000000000000004E-6</v>
      </c>
      <c r="T8" t="s">
        <v>145</v>
      </c>
      <c r="U8" t="s">
        <v>426</v>
      </c>
      <c r="V8" t="s">
        <v>62</v>
      </c>
      <c r="W8" t="s">
        <v>62</v>
      </c>
      <c r="X8" t="s">
        <v>62</v>
      </c>
      <c r="Z8">
        <v>5.0000000000000004E-6</v>
      </c>
      <c r="AA8">
        <v>5.0000000000000004E-6</v>
      </c>
      <c r="AB8" t="s">
        <v>309</v>
      </c>
      <c r="AD8">
        <v>5.0000000000000004E-6</v>
      </c>
      <c r="AE8">
        <v>5.0000000000000004E-6</v>
      </c>
      <c r="AF8" t="s">
        <v>309</v>
      </c>
      <c r="AG8" t="s">
        <v>424</v>
      </c>
      <c r="AH8">
        <v>584985.64300000004</v>
      </c>
      <c r="AI8">
        <v>6916445.9579999996</v>
      </c>
      <c r="AJ8">
        <v>1314.54</v>
      </c>
      <c r="AK8">
        <v>1316.06</v>
      </c>
      <c r="AL8">
        <v>1313.02</v>
      </c>
    </row>
    <row r="9" spans="1:38" x14ac:dyDescent="0.3">
      <c r="A9" t="str">
        <f t="shared" si="0"/>
        <v>CH15-106-MW002Ferrous Iron, dissolved</v>
      </c>
      <c r="B9">
        <v>1650156</v>
      </c>
      <c r="C9" t="s">
        <v>416</v>
      </c>
      <c r="D9" t="s">
        <v>134</v>
      </c>
      <c r="E9" t="s">
        <v>134</v>
      </c>
      <c r="F9" s="88">
        <v>42523</v>
      </c>
      <c r="G9">
        <v>6.1</v>
      </c>
      <c r="H9">
        <v>9.14</v>
      </c>
      <c r="I9" t="s">
        <v>417</v>
      </c>
      <c r="J9" t="s">
        <v>418</v>
      </c>
      <c r="K9" t="s">
        <v>419</v>
      </c>
      <c r="L9" t="s">
        <v>437</v>
      </c>
      <c r="M9" t="s">
        <v>421</v>
      </c>
      <c r="N9">
        <v>100394519</v>
      </c>
      <c r="O9" t="s">
        <v>440</v>
      </c>
      <c r="P9" t="s">
        <v>441</v>
      </c>
      <c r="Q9">
        <v>0.02</v>
      </c>
      <c r="R9" t="s">
        <v>309</v>
      </c>
      <c r="S9">
        <v>0.02</v>
      </c>
      <c r="T9" t="s">
        <v>145</v>
      </c>
      <c r="U9" t="s">
        <v>426</v>
      </c>
      <c r="V9" t="s">
        <v>62</v>
      </c>
      <c r="W9" t="s">
        <v>62</v>
      </c>
      <c r="X9" t="s">
        <v>62</v>
      </c>
      <c r="Z9">
        <v>0.02</v>
      </c>
      <c r="AA9">
        <v>0.02</v>
      </c>
      <c r="AB9" t="s">
        <v>309</v>
      </c>
      <c r="AD9">
        <v>0.02</v>
      </c>
      <c r="AE9">
        <v>0.02</v>
      </c>
      <c r="AF9" t="s">
        <v>309</v>
      </c>
      <c r="AG9" t="s">
        <v>424</v>
      </c>
      <c r="AH9">
        <v>584985.64300000004</v>
      </c>
      <c r="AI9">
        <v>6916445.9579999996</v>
      </c>
      <c r="AJ9">
        <v>1314.54</v>
      </c>
      <c r="AK9">
        <v>1316.06</v>
      </c>
      <c r="AL9">
        <v>1313.02</v>
      </c>
    </row>
    <row r="10" spans="1:38" x14ac:dyDescent="0.3">
      <c r="A10" t="str">
        <f t="shared" si="0"/>
        <v>CH15-106-MW002Ammonia</v>
      </c>
      <c r="B10">
        <v>1650156</v>
      </c>
      <c r="C10" t="s">
        <v>416</v>
      </c>
      <c r="D10" t="s">
        <v>134</v>
      </c>
      <c r="E10" t="s">
        <v>134</v>
      </c>
      <c r="F10" s="88">
        <v>42523</v>
      </c>
      <c r="G10">
        <v>6.1</v>
      </c>
      <c r="H10">
        <v>9.14</v>
      </c>
      <c r="I10" t="s">
        <v>417</v>
      </c>
      <c r="J10" t="s">
        <v>418</v>
      </c>
      <c r="K10" t="s">
        <v>419</v>
      </c>
      <c r="L10" t="s">
        <v>420</v>
      </c>
      <c r="M10" t="s">
        <v>421</v>
      </c>
      <c r="N10">
        <v>100394520</v>
      </c>
      <c r="O10" t="s">
        <v>442</v>
      </c>
      <c r="P10" t="s">
        <v>338</v>
      </c>
      <c r="Q10">
        <v>5.0000000000000001E-3</v>
      </c>
      <c r="R10" t="s">
        <v>309</v>
      </c>
      <c r="S10">
        <v>5.0000000000000001E-3</v>
      </c>
      <c r="T10" t="s">
        <v>145</v>
      </c>
      <c r="U10" t="s">
        <v>426</v>
      </c>
      <c r="V10" t="s">
        <v>62</v>
      </c>
      <c r="W10" t="s">
        <v>62</v>
      </c>
      <c r="X10" t="s">
        <v>62</v>
      </c>
      <c r="Z10">
        <v>5.0000000000000001E-3</v>
      </c>
      <c r="AA10">
        <v>5.0000000000000001E-3</v>
      </c>
      <c r="AB10" t="s">
        <v>309</v>
      </c>
      <c r="AD10">
        <v>5.0000000000000001E-3</v>
      </c>
      <c r="AE10">
        <v>5.0000000000000001E-3</v>
      </c>
      <c r="AF10" t="s">
        <v>309</v>
      </c>
      <c r="AG10" t="s">
        <v>424</v>
      </c>
      <c r="AH10">
        <v>584985.64300000004</v>
      </c>
      <c r="AI10">
        <v>6916445.9579999996</v>
      </c>
      <c r="AJ10">
        <v>1314.54</v>
      </c>
      <c r="AK10">
        <v>1316.06</v>
      </c>
      <c r="AL10">
        <v>1313.02</v>
      </c>
    </row>
    <row r="11" spans="1:38" x14ac:dyDescent="0.3">
      <c r="A11" t="str">
        <f t="shared" si="0"/>
        <v>CH15-106-MW002Acidity, hot peroxide</v>
      </c>
      <c r="B11">
        <v>1650156</v>
      </c>
      <c r="C11" t="s">
        <v>416</v>
      </c>
      <c r="D11" t="s">
        <v>134</v>
      </c>
      <c r="E11" t="s">
        <v>134</v>
      </c>
      <c r="F11" s="88">
        <v>42523</v>
      </c>
      <c r="G11">
        <v>6.1</v>
      </c>
      <c r="H11">
        <v>9.14</v>
      </c>
      <c r="I11" t="s">
        <v>417</v>
      </c>
      <c r="J11" t="s">
        <v>418</v>
      </c>
      <c r="K11" t="s">
        <v>419</v>
      </c>
      <c r="L11" t="s">
        <v>420</v>
      </c>
      <c r="M11" t="s">
        <v>421</v>
      </c>
      <c r="N11">
        <v>100394521</v>
      </c>
      <c r="O11" t="s">
        <v>443</v>
      </c>
      <c r="P11" t="s">
        <v>444</v>
      </c>
      <c r="Q11">
        <v>25</v>
      </c>
      <c r="R11" t="s">
        <v>309</v>
      </c>
      <c r="S11">
        <v>25</v>
      </c>
      <c r="T11" t="s">
        <v>145</v>
      </c>
      <c r="U11" t="s">
        <v>426</v>
      </c>
      <c r="V11" t="s">
        <v>62</v>
      </c>
      <c r="W11" t="s">
        <v>62</v>
      </c>
      <c r="X11" t="s">
        <v>62</v>
      </c>
      <c r="Z11">
        <v>25</v>
      </c>
      <c r="AA11">
        <v>25</v>
      </c>
      <c r="AB11" t="s">
        <v>309</v>
      </c>
      <c r="AD11">
        <v>25</v>
      </c>
      <c r="AE11">
        <v>25</v>
      </c>
      <c r="AF11" t="s">
        <v>309</v>
      </c>
      <c r="AG11" t="s">
        <v>424</v>
      </c>
      <c r="AH11">
        <v>584985.64300000004</v>
      </c>
      <c r="AI11">
        <v>6916445.9579999996</v>
      </c>
      <c r="AJ11">
        <v>1314.54</v>
      </c>
      <c r="AK11">
        <v>1316.06</v>
      </c>
      <c r="AL11">
        <v>1313.02</v>
      </c>
    </row>
    <row r="12" spans="1:38" x14ac:dyDescent="0.3">
      <c r="A12" t="str">
        <f t="shared" si="0"/>
        <v>CH15-106-MW002Alkalinity, Total (as CaCO3)</v>
      </c>
      <c r="B12">
        <v>1650156</v>
      </c>
      <c r="C12" t="s">
        <v>416</v>
      </c>
      <c r="D12" t="s">
        <v>134</v>
      </c>
      <c r="E12" t="s">
        <v>134</v>
      </c>
      <c r="F12" s="88">
        <v>42523</v>
      </c>
      <c r="G12">
        <v>6.1</v>
      </c>
      <c r="H12">
        <v>9.14</v>
      </c>
      <c r="I12" t="s">
        <v>417</v>
      </c>
      <c r="J12" t="s">
        <v>418</v>
      </c>
      <c r="K12" t="s">
        <v>419</v>
      </c>
      <c r="L12" t="s">
        <v>420</v>
      </c>
      <c r="M12" t="s">
        <v>421</v>
      </c>
      <c r="N12">
        <v>100394522</v>
      </c>
      <c r="O12" t="s">
        <v>445</v>
      </c>
      <c r="P12" t="s">
        <v>337</v>
      </c>
      <c r="Q12">
        <v>94.1</v>
      </c>
      <c r="R12" t="s">
        <v>309</v>
      </c>
      <c r="S12">
        <v>1</v>
      </c>
      <c r="T12" t="s">
        <v>145</v>
      </c>
      <c r="U12" t="s">
        <v>145</v>
      </c>
      <c r="X12" t="s">
        <v>237</v>
      </c>
      <c r="Z12">
        <v>1</v>
      </c>
      <c r="AA12">
        <v>1</v>
      </c>
      <c r="AB12" t="s">
        <v>309</v>
      </c>
      <c r="AD12">
        <v>94.1</v>
      </c>
      <c r="AE12">
        <v>94.1</v>
      </c>
      <c r="AF12" t="s">
        <v>309</v>
      </c>
      <c r="AG12" t="s">
        <v>424</v>
      </c>
      <c r="AH12">
        <v>584985.64300000004</v>
      </c>
      <c r="AI12">
        <v>6916445.9579999996</v>
      </c>
      <c r="AJ12">
        <v>1314.54</v>
      </c>
      <c r="AK12">
        <v>1316.06</v>
      </c>
      <c r="AL12">
        <v>1313.02</v>
      </c>
    </row>
    <row r="13" spans="1:38" x14ac:dyDescent="0.3">
      <c r="A13" t="str">
        <f t="shared" si="0"/>
        <v>CH15-106-MW002Alkalinity, Bicarbonate (as CaCO3)</v>
      </c>
      <c r="B13">
        <v>1650156</v>
      </c>
      <c r="C13" t="s">
        <v>416</v>
      </c>
      <c r="D13" t="s">
        <v>134</v>
      </c>
      <c r="E13" t="s">
        <v>134</v>
      </c>
      <c r="F13" s="88">
        <v>42523</v>
      </c>
      <c r="G13">
        <v>6.1</v>
      </c>
      <c r="H13">
        <v>9.14</v>
      </c>
      <c r="I13" t="s">
        <v>417</v>
      </c>
      <c r="J13" t="s">
        <v>418</v>
      </c>
      <c r="K13" t="s">
        <v>419</v>
      </c>
      <c r="L13" t="s">
        <v>420</v>
      </c>
      <c r="M13" t="s">
        <v>421</v>
      </c>
      <c r="N13">
        <v>100394522</v>
      </c>
      <c r="O13" t="s">
        <v>446</v>
      </c>
      <c r="P13" t="s">
        <v>334</v>
      </c>
      <c r="Q13">
        <v>94.1</v>
      </c>
      <c r="R13" t="s">
        <v>309</v>
      </c>
      <c r="S13">
        <v>1</v>
      </c>
      <c r="T13" t="s">
        <v>145</v>
      </c>
      <c r="U13" t="s">
        <v>145</v>
      </c>
      <c r="X13" t="s">
        <v>237</v>
      </c>
      <c r="Z13">
        <v>1</v>
      </c>
      <c r="AA13">
        <v>1</v>
      </c>
      <c r="AB13" t="s">
        <v>309</v>
      </c>
      <c r="AD13">
        <v>94.1</v>
      </c>
      <c r="AE13">
        <v>94.1</v>
      </c>
      <c r="AF13" t="s">
        <v>309</v>
      </c>
      <c r="AG13" t="s">
        <v>424</v>
      </c>
      <c r="AH13">
        <v>584985.64300000004</v>
      </c>
      <c r="AI13">
        <v>6916445.9579999996</v>
      </c>
      <c r="AJ13">
        <v>1314.54</v>
      </c>
      <c r="AK13">
        <v>1316.06</v>
      </c>
      <c r="AL13">
        <v>1313.02</v>
      </c>
    </row>
    <row r="14" spans="1:38" x14ac:dyDescent="0.3">
      <c r="A14" t="str">
        <f t="shared" si="0"/>
        <v>CH15-106-MW002Alkalinity, Carbonate (as CaCO3)</v>
      </c>
      <c r="B14">
        <v>1650156</v>
      </c>
      <c r="C14" t="s">
        <v>416</v>
      </c>
      <c r="D14" t="s">
        <v>134</v>
      </c>
      <c r="E14" t="s">
        <v>134</v>
      </c>
      <c r="F14" s="88">
        <v>42523</v>
      </c>
      <c r="G14">
        <v>6.1</v>
      </c>
      <c r="H14">
        <v>9.14</v>
      </c>
      <c r="I14" t="s">
        <v>417</v>
      </c>
      <c r="J14" t="s">
        <v>418</v>
      </c>
      <c r="K14" t="s">
        <v>419</v>
      </c>
      <c r="L14" t="s">
        <v>420</v>
      </c>
      <c r="M14" t="s">
        <v>421</v>
      </c>
      <c r="N14">
        <v>100394522</v>
      </c>
      <c r="O14" t="s">
        <v>447</v>
      </c>
      <c r="P14" t="s">
        <v>335</v>
      </c>
      <c r="Q14">
        <v>1</v>
      </c>
      <c r="R14" t="s">
        <v>309</v>
      </c>
      <c r="S14">
        <v>1</v>
      </c>
      <c r="T14" t="s">
        <v>145</v>
      </c>
      <c r="U14" t="s">
        <v>426</v>
      </c>
      <c r="V14" t="s">
        <v>62</v>
      </c>
      <c r="W14" t="s">
        <v>62</v>
      </c>
      <c r="X14" t="s">
        <v>62</v>
      </c>
      <c r="Z14">
        <v>1</v>
      </c>
      <c r="AA14">
        <v>1</v>
      </c>
      <c r="AB14" t="s">
        <v>309</v>
      </c>
      <c r="AD14">
        <v>1</v>
      </c>
      <c r="AE14">
        <v>1</v>
      </c>
      <c r="AF14" t="s">
        <v>309</v>
      </c>
      <c r="AG14" t="s">
        <v>424</v>
      </c>
      <c r="AH14">
        <v>584985.64300000004</v>
      </c>
      <c r="AI14">
        <v>6916445.9579999996</v>
      </c>
      <c r="AJ14">
        <v>1314.54</v>
      </c>
      <c r="AK14">
        <v>1316.06</v>
      </c>
      <c r="AL14">
        <v>1313.02</v>
      </c>
    </row>
    <row r="15" spans="1:38" x14ac:dyDescent="0.3">
      <c r="A15" t="str">
        <f t="shared" si="0"/>
        <v>CH15-106-MW002Alkalinity, Hydroxide (as CaCO3)</v>
      </c>
      <c r="B15">
        <v>1650156</v>
      </c>
      <c r="C15" t="s">
        <v>416</v>
      </c>
      <c r="D15" t="s">
        <v>134</v>
      </c>
      <c r="E15" t="s">
        <v>134</v>
      </c>
      <c r="F15" s="88">
        <v>42523</v>
      </c>
      <c r="G15">
        <v>6.1</v>
      </c>
      <c r="H15">
        <v>9.14</v>
      </c>
      <c r="I15" t="s">
        <v>417</v>
      </c>
      <c r="J15" t="s">
        <v>418</v>
      </c>
      <c r="K15" t="s">
        <v>419</v>
      </c>
      <c r="L15" t="s">
        <v>420</v>
      </c>
      <c r="M15" t="s">
        <v>421</v>
      </c>
      <c r="N15">
        <v>100394522</v>
      </c>
      <c r="O15" t="s">
        <v>448</v>
      </c>
      <c r="P15" t="s">
        <v>336</v>
      </c>
      <c r="Q15">
        <v>1</v>
      </c>
      <c r="R15" t="s">
        <v>309</v>
      </c>
      <c r="S15">
        <v>1</v>
      </c>
      <c r="T15" t="s">
        <v>145</v>
      </c>
      <c r="U15" t="s">
        <v>426</v>
      </c>
      <c r="V15" t="s">
        <v>62</v>
      </c>
      <c r="W15" t="s">
        <v>62</v>
      </c>
      <c r="X15" t="s">
        <v>62</v>
      </c>
      <c r="Z15">
        <v>1</v>
      </c>
      <c r="AA15">
        <v>1</v>
      </c>
      <c r="AB15" t="s">
        <v>309</v>
      </c>
      <c r="AD15">
        <v>1</v>
      </c>
      <c r="AE15">
        <v>1</v>
      </c>
      <c r="AF15" t="s">
        <v>309</v>
      </c>
      <c r="AG15" t="s">
        <v>424</v>
      </c>
      <c r="AH15">
        <v>584985.64300000004</v>
      </c>
      <c r="AI15">
        <v>6916445.9579999996</v>
      </c>
      <c r="AJ15">
        <v>1314.54</v>
      </c>
      <c r="AK15">
        <v>1316.06</v>
      </c>
      <c r="AL15">
        <v>1313.02</v>
      </c>
    </row>
    <row r="16" spans="1:38" x14ac:dyDescent="0.3">
      <c r="A16" t="str">
        <f t="shared" si="0"/>
        <v>CH15-106-MW002Hardness (as CaCO3)</v>
      </c>
      <c r="B16">
        <v>1650156</v>
      </c>
      <c r="C16" t="s">
        <v>416</v>
      </c>
      <c r="D16" t="s">
        <v>134</v>
      </c>
      <c r="E16" t="s">
        <v>134</v>
      </c>
      <c r="F16" s="88">
        <v>42523</v>
      </c>
      <c r="G16">
        <v>6.1</v>
      </c>
      <c r="H16">
        <v>9.14</v>
      </c>
      <c r="I16" t="s">
        <v>417</v>
      </c>
      <c r="J16" t="s">
        <v>418</v>
      </c>
      <c r="K16" t="s">
        <v>419</v>
      </c>
      <c r="L16" t="s">
        <v>420</v>
      </c>
      <c r="M16" t="s">
        <v>421</v>
      </c>
      <c r="N16">
        <v>100394523</v>
      </c>
      <c r="O16" t="s">
        <v>449</v>
      </c>
      <c r="P16" t="s">
        <v>329</v>
      </c>
      <c r="Q16">
        <v>97.4</v>
      </c>
      <c r="R16" t="s">
        <v>309</v>
      </c>
      <c r="S16">
        <v>0.5</v>
      </c>
      <c r="T16" t="s">
        <v>145</v>
      </c>
      <c r="U16" t="s">
        <v>145</v>
      </c>
      <c r="X16" t="s">
        <v>237</v>
      </c>
      <c r="Z16">
        <v>0.5</v>
      </c>
      <c r="AA16">
        <v>0.5</v>
      </c>
      <c r="AB16" t="s">
        <v>309</v>
      </c>
      <c r="AD16">
        <v>97.4</v>
      </c>
      <c r="AE16">
        <v>97.4</v>
      </c>
      <c r="AF16" t="s">
        <v>309</v>
      </c>
      <c r="AG16" t="s">
        <v>424</v>
      </c>
      <c r="AH16">
        <v>584985.64300000004</v>
      </c>
      <c r="AI16">
        <v>6916445.9579999996</v>
      </c>
      <c r="AJ16">
        <v>1314.54</v>
      </c>
      <c r="AK16">
        <v>1316.06</v>
      </c>
      <c r="AL16">
        <v>1313.02</v>
      </c>
    </row>
    <row r="17" spans="1:38" x14ac:dyDescent="0.3">
      <c r="A17" t="str">
        <f t="shared" si="0"/>
        <v>CH15-106-MW002Total dissolved solids</v>
      </c>
      <c r="B17">
        <v>1650156</v>
      </c>
      <c r="C17" t="s">
        <v>416</v>
      </c>
      <c r="D17" t="s">
        <v>134</v>
      </c>
      <c r="E17" t="s">
        <v>134</v>
      </c>
      <c r="F17" s="88">
        <v>42523</v>
      </c>
      <c r="G17">
        <v>6.1</v>
      </c>
      <c r="H17">
        <v>9.14</v>
      </c>
      <c r="I17" t="s">
        <v>417</v>
      </c>
      <c r="J17" t="s">
        <v>418</v>
      </c>
      <c r="K17" t="s">
        <v>419</v>
      </c>
      <c r="L17" t="s">
        <v>420</v>
      </c>
      <c r="M17" t="s">
        <v>421</v>
      </c>
      <c r="N17">
        <v>100394524</v>
      </c>
      <c r="O17" t="s">
        <v>422</v>
      </c>
      <c r="P17" t="s">
        <v>423</v>
      </c>
      <c r="Q17">
        <v>125</v>
      </c>
      <c r="R17" t="s">
        <v>309</v>
      </c>
      <c r="S17">
        <v>13</v>
      </c>
      <c r="T17" t="s">
        <v>145</v>
      </c>
      <c r="U17" t="s">
        <v>145</v>
      </c>
      <c r="X17" t="s">
        <v>237</v>
      </c>
      <c r="Z17">
        <v>13</v>
      </c>
      <c r="AA17">
        <v>13</v>
      </c>
      <c r="AB17" t="s">
        <v>309</v>
      </c>
      <c r="AD17">
        <v>125</v>
      </c>
      <c r="AE17">
        <v>125</v>
      </c>
      <c r="AF17" t="s">
        <v>309</v>
      </c>
      <c r="AG17" t="s">
        <v>424</v>
      </c>
      <c r="AH17">
        <v>584985.64300000004</v>
      </c>
      <c r="AI17">
        <v>6916445.9579999996</v>
      </c>
      <c r="AJ17">
        <v>1314.54</v>
      </c>
      <c r="AK17">
        <v>1316.06</v>
      </c>
      <c r="AL17">
        <v>1313.02</v>
      </c>
    </row>
    <row r="18" spans="1:38" x14ac:dyDescent="0.3">
      <c r="A18" t="str">
        <f t="shared" si="0"/>
        <v>CH15-106-MW002Total Suspended Solids</v>
      </c>
      <c r="B18">
        <v>1650156</v>
      </c>
      <c r="C18" t="s">
        <v>416</v>
      </c>
      <c r="D18" t="s">
        <v>134</v>
      </c>
      <c r="E18" t="s">
        <v>134</v>
      </c>
      <c r="F18" s="88">
        <v>42523</v>
      </c>
      <c r="G18">
        <v>6.1</v>
      </c>
      <c r="H18">
        <v>9.14</v>
      </c>
      <c r="I18" t="s">
        <v>417</v>
      </c>
      <c r="J18" t="s">
        <v>418</v>
      </c>
      <c r="K18" t="s">
        <v>419</v>
      </c>
      <c r="L18" t="s">
        <v>420</v>
      </c>
      <c r="M18" t="s">
        <v>421</v>
      </c>
      <c r="N18">
        <v>100394526</v>
      </c>
      <c r="O18" t="s">
        <v>450</v>
      </c>
      <c r="P18" t="s">
        <v>330</v>
      </c>
      <c r="Q18">
        <v>33.6</v>
      </c>
      <c r="R18" t="s">
        <v>309</v>
      </c>
      <c r="S18">
        <v>1</v>
      </c>
      <c r="T18" t="s">
        <v>145</v>
      </c>
      <c r="U18" t="s">
        <v>145</v>
      </c>
      <c r="X18" t="s">
        <v>237</v>
      </c>
      <c r="Z18">
        <v>1</v>
      </c>
      <c r="AA18">
        <v>1</v>
      </c>
      <c r="AB18" t="s">
        <v>309</v>
      </c>
      <c r="AD18">
        <v>33.6</v>
      </c>
      <c r="AE18">
        <v>33.6</v>
      </c>
      <c r="AF18" t="s">
        <v>309</v>
      </c>
      <c r="AG18" t="s">
        <v>424</v>
      </c>
      <c r="AH18">
        <v>584985.64300000004</v>
      </c>
      <c r="AI18">
        <v>6916445.9579999996</v>
      </c>
      <c r="AJ18">
        <v>1314.54</v>
      </c>
      <c r="AK18">
        <v>1316.06</v>
      </c>
      <c r="AL18">
        <v>1313.02</v>
      </c>
    </row>
    <row r="19" spans="1:38" x14ac:dyDescent="0.3">
      <c r="A19" t="str">
        <f t="shared" si="0"/>
        <v>CH15-106-MW002Nitrate (as N)</v>
      </c>
      <c r="B19">
        <v>1650156</v>
      </c>
      <c r="C19" t="s">
        <v>416</v>
      </c>
      <c r="D19" t="s">
        <v>134</v>
      </c>
      <c r="E19" t="s">
        <v>134</v>
      </c>
      <c r="F19" s="88">
        <v>42523</v>
      </c>
      <c r="G19">
        <v>6.1</v>
      </c>
      <c r="H19">
        <v>9.14</v>
      </c>
      <c r="I19" t="s">
        <v>417</v>
      </c>
      <c r="J19" t="s">
        <v>418</v>
      </c>
      <c r="K19" t="s">
        <v>419</v>
      </c>
      <c r="L19" t="s">
        <v>420</v>
      </c>
      <c r="M19" t="s">
        <v>421</v>
      </c>
      <c r="N19">
        <v>100394527</v>
      </c>
      <c r="O19" t="s">
        <v>451</v>
      </c>
      <c r="P19" t="s">
        <v>341</v>
      </c>
      <c r="Q19">
        <v>0.20699999999999999</v>
      </c>
      <c r="R19" t="s">
        <v>309</v>
      </c>
      <c r="S19">
        <v>5.0000000000000001E-3</v>
      </c>
      <c r="T19" t="s">
        <v>145</v>
      </c>
      <c r="U19" t="s">
        <v>145</v>
      </c>
      <c r="V19" t="s">
        <v>60</v>
      </c>
      <c r="W19" t="s">
        <v>60</v>
      </c>
      <c r="X19" t="s">
        <v>237</v>
      </c>
      <c r="Z19">
        <v>5.0000000000000001E-3</v>
      </c>
      <c r="AA19">
        <v>5.0000000000000001E-3</v>
      </c>
      <c r="AB19" t="s">
        <v>309</v>
      </c>
      <c r="AD19">
        <v>0.20699999999999999</v>
      </c>
      <c r="AE19">
        <v>0.20699999999999999</v>
      </c>
      <c r="AF19" t="s">
        <v>309</v>
      </c>
      <c r="AG19" t="s">
        <v>424</v>
      </c>
      <c r="AH19">
        <v>584985.64300000004</v>
      </c>
      <c r="AI19">
        <v>6916445.9579999996</v>
      </c>
      <c r="AJ19">
        <v>1314.54</v>
      </c>
      <c r="AK19">
        <v>1316.06</v>
      </c>
      <c r="AL19">
        <v>1313.02</v>
      </c>
    </row>
    <row r="20" spans="1:38" x14ac:dyDescent="0.3">
      <c r="A20" t="str">
        <f t="shared" si="0"/>
        <v>CH15-106-MW002Nitrite (as N)</v>
      </c>
      <c r="B20">
        <v>1650156</v>
      </c>
      <c r="C20" t="s">
        <v>416</v>
      </c>
      <c r="D20" t="s">
        <v>134</v>
      </c>
      <c r="E20" t="s">
        <v>134</v>
      </c>
      <c r="F20" s="88">
        <v>42523</v>
      </c>
      <c r="G20">
        <v>6.1</v>
      </c>
      <c r="H20">
        <v>9.14</v>
      </c>
      <c r="I20" t="s">
        <v>417</v>
      </c>
      <c r="J20" t="s">
        <v>418</v>
      </c>
      <c r="K20" t="s">
        <v>419</v>
      </c>
      <c r="L20" t="s">
        <v>420</v>
      </c>
      <c r="M20" t="s">
        <v>421</v>
      </c>
      <c r="N20">
        <v>100394527</v>
      </c>
      <c r="O20" t="s">
        <v>452</v>
      </c>
      <c r="P20" t="s">
        <v>342</v>
      </c>
      <c r="Q20">
        <v>1E-3</v>
      </c>
      <c r="R20" t="s">
        <v>309</v>
      </c>
      <c r="S20">
        <v>1E-3</v>
      </c>
      <c r="T20" t="s">
        <v>145</v>
      </c>
      <c r="U20" t="s">
        <v>426</v>
      </c>
      <c r="V20" t="s">
        <v>61</v>
      </c>
      <c r="W20" t="s">
        <v>61</v>
      </c>
      <c r="X20" t="s">
        <v>62</v>
      </c>
      <c r="Z20">
        <v>1E-3</v>
      </c>
      <c r="AA20">
        <v>1E-3</v>
      </c>
      <c r="AB20" t="s">
        <v>309</v>
      </c>
      <c r="AD20">
        <v>1E-3</v>
      </c>
      <c r="AE20">
        <v>1E-3</v>
      </c>
      <c r="AF20" t="s">
        <v>309</v>
      </c>
      <c r="AG20" t="s">
        <v>424</v>
      </c>
      <c r="AH20">
        <v>584985.64300000004</v>
      </c>
      <c r="AI20">
        <v>6916445.9579999996</v>
      </c>
      <c r="AJ20">
        <v>1314.54</v>
      </c>
      <c r="AK20">
        <v>1316.06</v>
      </c>
      <c r="AL20">
        <v>1313.02</v>
      </c>
    </row>
    <row r="21" spans="1:38" x14ac:dyDescent="0.3">
      <c r="A21" t="str">
        <f t="shared" si="0"/>
        <v>CH15-106-MW002Sulfate</v>
      </c>
      <c r="B21">
        <v>1650156</v>
      </c>
      <c r="C21" t="s">
        <v>416</v>
      </c>
      <c r="D21" t="s">
        <v>134</v>
      </c>
      <c r="E21" t="s">
        <v>134</v>
      </c>
      <c r="F21" s="88">
        <v>42523</v>
      </c>
      <c r="G21">
        <v>6.1</v>
      </c>
      <c r="H21">
        <v>9.14</v>
      </c>
      <c r="I21" t="s">
        <v>417</v>
      </c>
      <c r="J21" t="s">
        <v>418</v>
      </c>
      <c r="K21" t="s">
        <v>419</v>
      </c>
      <c r="L21" t="s">
        <v>420</v>
      </c>
      <c r="M21" t="s">
        <v>421</v>
      </c>
      <c r="N21">
        <v>100394527</v>
      </c>
      <c r="O21" t="s">
        <v>453</v>
      </c>
      <c r="P21" t="s">
        <v>343</v>
      </c>
      <c r="Q21">
        <v>4.07</v>
      </c>
      <c r="R21" t="s">
        <v>309</v>
      </c>
      <c r="S21">
        <v>0.3</v>
      </c>
      <c r="T21" t="s">
        <v>145</v>
      </c>
      <c r="U21" t="s">
        <v>145</v>
      </c>
      <c r="X21" t="s">
        <v>237</v>
      </c>
      <c r="Z21">
        <v>0.3</v>
      </c>
      <c r="AA21">
        <v>0.3</v>
      </c>
      <c r="AB21" t="s">
        <v>309</v>
      </c>
      <c r="AD21">
        <v>4.07</v>
      </c>
      <c r="AE21">
        <v>4.07</v>
      </c>
      <c r="AF21" t="s">
        <v>309</v>
      </c>
      <c r="AG21" t="s">
        <v>424</v>
      </c>
      <c r="AH21">
        <v>584985.64300000004</v>
      </c>
      <c r="AI21">
        <v>6916445.9579999996</v>
      </c>
      <c r="AJ21">
        <v>1314.54</v>
      </c>
      <c r="AK21">
        <v>1316.06</v>
      </c>
      <c r="AL21">
        <v>1313.02</v>
      </c>
    </row>
    <row r="22" spans="1:38" x14ac:dyDescent="0.3">
      <c r="A22" t="str">
        <f t="shared" si="0"/>
        <v>CH15-106-MW002Chloride (Cl)</v>
      </c>
      <c r="B22">
        <v>1650156</v>
      </c>
      <c r="C22" t="s">
        <v>416</v>
      </c>
      <c r="D22" t="s">
        <v>134</v>
      </c>
      <c r="E22" t="s">
        <v>134</v>
      </c>
      <c r="F22" s="88">
        <v>42523</v>
      </c>
      <c r="G22">
        <v>6.1</v>
      </c>
      <c r="H22">
        <v>9.14</v>
      </c>
      <c r="I22" t="s">
        <v>417</v>
      </c>
      <c r="J22" t="s">
        <v>418</v>
      </c>
      <c r="K22" t="s">
        <v>419</v>
      </c>
      <c r="L22" t="s">
        <v>420</v>
      </c>
      <c r="M22" t="s">
        <v>421</v>
      </c>
      <c r="N22">
        <v>100394527</v>
      </c>
      <c r="O22" t="s">
        <v>454</v>
      </c>
      <c r="P22" t="s">
        <v>339</v>
      </c>
      <c r="Q22">
        <v>0.5</v>
      </c>
      <c r="R22" t="s">
        <v>309</v>
      </c>
      <c r="S22">
        <v>0.5</v>
      </c>
      <c r="T22" t="s">
        <v>145</v>
      </c>
      <c r="U22" t="s">
        <v>426</v>
      </c>
      <c r="V22" t="s">
        <v>62</v>
      </c>
      <c r="W22" t="s">
        <v>62</v>
      </c>
      <c r="X22" t="s">
        <v>62</v>
      </c>
      <c r="Z22">
        <v>0.5</v>
      </c>
      <c r="AA22">
        <v>0.5</v>
      </c>
      <c r="AB22" t="s">
        <v>309</v>
      </c>
      <c r="AD22">
        <v>0.5</v>
      </c>
      <c r="AE22">
        <v>0.5</v>
      </c>
      <c r="AF22" t="s">
        <v>309</v>
      </c>
      <c r="AG22" t="s">
        <v>424</v>
      </c>
      <c r="AH22">
        <v>584985.64300000004</v>
      </c>
      <c r="AI22">
        <v>6916445.9579999996</v>
      </c>
      <c r="AJ22">
        <v>1314.54</v>
      </c>
      <c r="AK22">
        <v>1316.06</v>
      </c>
      <c r="AL22">
        <v>1313.02</v>
      </c>
    </row>
    <row r="23" spans="1:38" x14ac:dyDescent="0.3">
      <c r="A23" t="str">
        <f t="shared" si="0"/>
        <v>CH15-106-MW002Fluoride</v>
      </c>
      <c r="B23">
        <v>1650156</v>
      </c>
      <c r="C23" t="s">
        <v>416</v>
      </c>
      <c r="D23" t="s">
        <v>134</v>
      </c>
      <c r="E23" t="s">
        <v>134</v>
      </c>
      <c r="F23" s="88">
        <v>42523</v>
      </c>
      <c r="G23">
        <v>6.1</v>
      </c>
      <c r="H23">
        <v>9.14</v>
      </c>
      <c r="I23" t="s">
        <v>417</v>
      </c>
      <c r="J23" t="s">
        <v>418</v>
      </c>
      <c r="K23" t="s">
        <v>419</v>
      </c>
      <c r="L23" t="s">
        <v>420</v>
      </c>
      <c r="M23" t="s">
        <v>421</v>
      </c>
      <c r="N23">
        <v>100394527</v>
      </c>
      <c r="O23" t="s">
        <v>455</v>
      </c>
      <c r="P23" t="s">
        <v>340</v>
      </c>
      <c r="Q23">
        <v>6.7000000000000004E-2</v>
      </c>
      <c r="R23" t="s">
        <v>309</v>
      </c>
      <c r="S23">
        <v>0.02</v>
      </c>
      <c r="T23" t="s">
        <v>145</v>
      </c>
      <c r="U23" t="s">
        <v>145</v>
      </c>
      <c r="X23" t="s">
        <v>237</v>
      </c>
      <c r="Z23">
        <v>0.02</v>
      </c>
      <c r="AA23">
        <v>0.02</v>
      </c>
      <c r="AB23" t="s">
        <v>309</v>
      </c>
      <c r="AD23">
        <v>6.7000000000000004E-2</v>
      </c>
      <c r="AE23">
        <v>6.7000000000000004E-2</v>
      </c>
      <c r="AF23" t="s">
        <v>309</v>
      </c>
      <c r="AG23" t="s">
        <v>424</v>
      </c>
      <c r="AH23">
        <v>584985.64300000004</v>
      </c>
      <c r="AI23">
        <v>6916445.9579999996</v>
      </c>
      <c r="AJ23">
        <v>1314.54</v>
      </c>
      <c r="AK23">
        <v>1316.06</v>
      </c>
      <c r="AL23">
        <v>1313.02</v>
      </c>
    </row>
    <row r="24" spans="1:38" x14ac:dyDescent="0.3">
      <c r="A24" t="str">
        <f t="shared" si="0"/>
        <v>CH15-106-MW002Phosphorus</v>
      </c>
      <c r="B24">
        <v>1650156</v>
      </c>
      <c r="C24" t="s">
        <v>416</v>
      </c>
      <c r="D24" t="s">
        <v>134</v>
      </c>
      <c r="E24" t="s">
        <v>134</v>
      </c>
      <c r="F24" s="88">
        <v>42523</v>
      </c>
      <c r="G24">
        <v>6.1</v>
      </c>
      <c r="H24">
        <v>9.14</v>
      </c>
      <c r="I24" t="s">
        <v>417</v>
      </c>
      <c r="J24" t="s">
        <v>418</v>
      </c>
      <c r="K24" t="s">
        <v>419</v>
      </c>
      <c r="L24" t="s">
        <v>420</v>
      </c>
      <c r="M24" t="s">
        <v>421</v>
      </c>
      <c r="N24">
        <v>100394528</v>
      </c>
      <c r="O24" t="s">
        <v>456</v>
      </c>
      <c r="P24" t="s">
        <v>13</v>
      </c>
      <c r="Q24">
        <v>2.5999999999999999E-2</v>
      </c>
      <c r="R24" t="s">
        <v>309</v>
      </c>
      <c r="S24">
        <v>0.02</v>
      </c>
      <c r="T24" t="s">
        <v>145</v>
      </c>
      <c r="U24" t="s">
        <v>145</v>
      </c>
      <c r="X24" t="s">
        <v>237</v>
      </c>
      <c r="Z24">
        <v>0.02</v>
      </c>
      <c r="AA24">
        <v>0.02</v>
      </c>
      <c r="AB24" t="s">
        <v>309</v>
      </c>
      <c r="AD24">
        <v>2.5999999999999999E-2</v>
      </c>
      <c r="AE24">
        <v>2.5999999999999999E-2</v>
      </c>
      <c r="AF24" t="s">
        <v>309</v>
      </c>
      <c r="AG24" t="s">
        <v>424</v>
      </c>
      <c r="AH24">
        <v>584985.64300000004</v>
      </c>
      <c r="AI24">
        <v>6916445.9579999996</v>
      </c>
      <c r="AJ24">
        <v>1314.54</v>
      </c>
      <c r="AK24">
        <v>1316.06</v>
      </c>
      <c r="AL24">
        <v>1313.02</v>
      </c>
    </row>
    <row r="25" spans="1:38" x14ac:dyDescent="0.3">
      <c r="A25" t="str">
        <f t="shared" si="0"/>
        <v>CH15-106-MW002Carbon, dissolved organic (DOC)</v>
      </c>
      <c r="B25">
        <v>1650156</v>
      </c>
      <c r="C25" t="s">
        <v>416</v>
      </c>
      <c r="D25" t="s">
        <v>134</v>
      </c>
      <c r="E25" t="s">
        <v>134</v>
      </c>
      <c r="F25" s="88">
        <v>42523</v>
      </c>
      <c r="G25">
        <v>6.1</v>
      </c>
      <c r="H25">
        <v>9.14</v>
      </c>
      <c r="I25" t="s">
        <v>417</v>
      </c>
      <c r="J25" t="s">
        <v>418</v>
      </c>
      <c r="K25" t="s">
        <v>419</v>
      </c>
      <c r="L25" t="s">
        <v>420</v>
      </c>
      <c r="M25" t="s">
        <v>421</v>
      </c>
      <c r="N25">
        <v>100394530</v>
      </c>
      <c r="O25" t="s">
        <v>457</v>
      </c>
      <c r="P25" t="s">
        <v>458</v>
      </c>
      <c r="Q25">
        <v>2.76</v>
      </c>
      <c r="R25" t="s">
        <v>309</v>
      </c>
      <c r="S25">
        <v>0.5</v>
      </c>
      <c r="T25" t="s">
        <v>145</v>
      </c>
      <c r="U25" t="s">
        <v>145</v>
      </c>
      <c r="X25" t="s">
        <v>237</v>
      </c>
      <c r="Z25">
        <v>0.5</v>
      </c>
      <c r="AA25">
        <v>0.5</v>
      </c>
      <c r="AB25" t="s">
        <v>309</v>
      </c>
      <c r="AD25">
        <v>2.76</v>
      </c>
      <c r="AE25">
        <v>2.76</v>
      </c>
      <c r="AF25" t="s">
        <v>309</v>
      </c>
      <c r="AG25" t="s">
        <v>424</v>
      </c>
      <c r="AH25">
        <v>584985.64300000004</v>
      </c>
      <c r="AI25">
        <v>6916445.9579999996</v>
      </c>
      <c r="AJ25">
        <v>1314.54</v>
      </c>
      <c r="AK25">
        <v>1316.06</v>
      </c>
      <c r="AL25">
        <v>1313.02</v>
      </c>
    </row>
    <row r="26" spans="1:38" x14ac:dyDescent="0.3">
      <c r="A26" t="str">
        <f t="shared" si="0"/>
        <v>CH15-106-MW002Iron, dissolved</v>
      </c>
      <c r="B26">
        <v>1650156</v>
      </c>
      <c r="C26" t="s">
        <v>416</v>
      </c>
      <c r="D26" t="s">
        <v>134</v>
      </c>
      <c r="E26" t="s">
        <v>134</v>
      </c>
      <c r="F26" s="88">
        <v>42523</v>
      </c>
      <c r="G26">
        <v>6.1</v>
      </c>
      <c r="H26">
        <v>9.14</v>
      </c>
      <c r="I26" t="s">
        <v>417</v>
      </c>
      <c r="J26" t="s">
        <v>418</v>
      </c>
      <c r="K26" t="s">
        <v>419</v>
      </c>
      <c r="L26" t="s">
        <v>437</v>
      </c>
      <c r="M26" t="s">
        <v>421</v>
      </c>
      <c r="N26">
        <v>100394531</v>
      </c>
      <c r="O26" t="s">
        <v>459</v>
      </c>
      <c r="P26" t="s">
        <v>460</v>
      </c>
      <c r="Q26">
        <v>0.03</v>
      </c>
      <c r="R26" t="s">
        <v>309</v>
      </c>
      <c r="S26">
        <v>0.03</v>
      </c>
      <c r="T26" t="s">
        <v>145</v>
      </c>
      <c r="U26" t="s">
        <v>426</v>
      </c>
      <c r="V26" t="s">
        <v>62</v>
      </c>
      <c r="W26" t="s">
        <v>62</v>
      </c>
      <c r="X26" t="s">
        <v>62</v>
      </c>
      <c r="Z26">
        <v>0.03</v>
      </c>
      <c r="AA26">
        <v>0.03</v>
      </c>
      <c r="AB26" t="s">
        <v>309</v>
      </c>
      <c r="AD26">
        <v>0.03</v>
      </c>
      <c r="AE26">
        <v>0.03</v>
      </c>
      <c r="AF26" t="s">
        <v>309</v>
      </c>
      <c r="AG26" t="s">
        <v>424</v>
      </c>
      <c r="AH26">
        <v>584985.64300000004</v>
      </c>
      <c r="AI26">
        <v>6916445.9579999996</v>
      </c>
      <c r="AJ26">
        <v>1314.54</v>
      </c>
      <c r="AK26">
        <v>1316.06</v>
      </c>
      <c r="AL26">
        <v>1313.02</v>
      </c>
    </row>
    <row r="27" spans="1:38" x14ac:dyDescent="0.3">
      <c r="A27" t="str">
        <f t="shared" si="0"/>
        <v>CH15-106-MW002Magnesium, dissolved</v>
      </c>
      <c r="B27">
        <v>1650156</v>
      </c>
      <c r="C27" t="s">
        <v>416</v>
      </c>
      <c r="D27" t="s">
        <v>134</v>
      </c>
      <c r="E27" t="s">
        <v>134</v>
      </c>
      <c r="F27" s="88">
        <v>42523</v>
      </c>
      <c r="G27">
        <v>6.1</v>
      </c>
      <c r="H27">
        <v>9.14</v>
      </c>
      <c r="I27" t="s">
        <v>417</v>
      </c>
      <c r="J27" t="s">
        <v>418</v>
      </c>
      <c r="K27" t="s">
        <v>419</v>
      </c>
      <c r="L27" t="s">
        <v>437</v>
      </c>
      <c r="M27" t="s">
        <v>421</v>
      </c>
      <c r="N27">
        <v>100394531</v>
      </c>
      <c r="O27" t="s">
        <v>461</v>
      </c>
      <c r="P27" t="s">
        <v>462</v>
      </c>
      <c r="Q27">
        <v>2.77</v>
      </c>
      <c r="R27" t="s">
        <v>309</v>
      </c>
      <c r="S27">
        <v>0.1</v>
      </c>
      <c r="T27" t="s">
        <v>145</v>
      </c>
      <c r="U27" t="s">
        <v>145</v>
      </c>
      <c r="X27" t="s">
        <v>237</v>
      </c>
      <c r="Z27">
        <v>0.1</v>
      </c>
      <c r="AA27">
        <v>0.1</v>
      </c>
      <c r="AB27" t="s">
        <v>309</v>
      </c>
      <c r="AD27">
        <v>2.77</v>
      </c>
      <c r="AE27">
        <v>2.77</v>
      </c>
      <c r="AF27" t="s">
        <v>309</v>
      </c>
      <c r="AG27" t="s">
        <v>424</v>
      </c>
      <c r="AH27">
        <v>584985.64300000004</v>
      </c>
      <c r="AI27">
        <v>6916445.9579999996</v>
      </c>
      <c r="AJ27">
        <v>1314.54</v>
      </c>
      <c r="AK27">
        <v>1316.06</v>
      </c>
      <c r="AL27">
        <v>1313.02</v>
      </c>
    </row>
    <row r="28" spans="1:38" x14ac:dyDescent="0.3">
      <c r="A28" t="str">
        <f t="shared" si="0"/>
        <v>CH15-106-MW002Silicon, dissolved</v>
      </c>
      <c r="B28">
        <v>1650156</v>
      </c>
      <c r="C28" t="s">
        <v>416</v>
      </c>
      <c r="D28" t="s">
        <v>134</v>
      </c>
      <c r="E28" t="s">
        <v>134</v>
      </c>
      <c r="F28" s="88">
        <v>42523</v>
      </c>
      <c r="G28">
        <v>6.1</v>
      </c>
      <c r="H28">
        <v>9.14</v>
      </c>
      <c r="I28" t="s">
        <v>417</v>
      </c>
      <c r="J28" t="s">
        <v>418</v>
      </c>
      <c r="K28" t="s">
        <v>419</v>
      </c>
      <c r="L28" t="s">
        <v>437</v>
      </c>
      <c r="M28" t="s">
        <v>421</v>
      </c>
      <c r="N28">
        <v>100394531</v>
      </c>
      <c r="O28" t="s">
        <v>463</v>
      </c>
      <c r="P28" t="s">
        <v>464</v>
      </c>
      <c r="Q28">
        <v>8.35</v>
      </c>
      <c r="R28" t="s">
        <v>309</v>
      </c>
      <c r="S28">
        <v>0.05</v>
      </c>
      <c r="T28" t="s">
        <v>145</v>
      </c>
      <c r="U28" t="s">
        <v>145</v>
      </c>
      <c r="X28" t="s">
        <v>237</v>
      </c>
      <c r="Z28">
        <v>0.05</v>
      </c>
      <c r="AA28">
        <v>0.05</v>
      </c>
      <c r="AB28" t="s">
        <v>309</v>
      </c>
      <c r="AD28">
        <v>8.35</v>
      </c>
      <c r="AE28">
        <v>8.35</v>
      </c>
      <c r="AF28" t="s">
        <v>309</v>
      </c>
      <c r="AG28" t="s">
        <v>424</v>
      </c>
      <c r="AH28">
        <v>584985.64300000004</v>
      </c>
      <c r="AI28">
        <v>6916445.9579999996</v>
      </c>
      <c r="AJ28">
        <v>1314.54</v>
      </c>
      <c r="AK28">
        <v>1316.06</v>
      </c>
      <c r="AL28">
        <v>1313.02</v>
      </c>
    </row>
    <row r="29" spans="1:38" x14ac:dyDescent="0.3">
      <c r="A29" t="str">
        <f t="shared" si="0"/>
        <v>CH15-106-MW002Calcium, dissolved</v>
      </c>
      <c r="B29">
        <v>1650156</v>
      </c>
      <c r="C29" t="s">
        <v>416</v>
      </c>
      <c r="D29" t="s">
        <v>134</v>
      </c>
      <c r="E29" t="s">
        <v>134</v>
      </c>
      <c r="F29" s="88">
        <v>42523</v>
      </c>
      <c r="G29">
        <v>6.1</v>
      </c>
      <c r="H29">
        <v>9.14</v>
      </c>
      <c r="I29" t="s">
        <v>417</v>
      </c>
      <c r="J29" t="s">
        <v>418</v>
      </c>
      <c r="K29" t="s">
        <v>419</v>
      </c>
      <c r="L29" t="s">
        <v>437</v>
      </c>
      <c r="M29" t="s">
        <v>421</v>
      </c>
      <c r="N29">
        <v>100394531</v>
      </c>
      <c r="O29" t="s">
        <v>465</v>
      </c>
      <c r="P29" t="s">
        <v>466</v>
      </c>
      <c r="Q29">
        <v>34.4</v>
      </c>
      <c r="R29" t="s">
        <v>309</v>
      </c>
      <c r="S29">
        <v>0.05</v>
      </c>
      <c r="T29" t="s">
        <v>145</v>
      </c>
      <c r="U29" t="s">
        <v>145</v>
      </c>
      <c r="X29" t="s">
        <v>237</v>
      </c>
      <c r="Z29">
        <v>0.05</v>
      </c>
      <c r="AA29">
        <v>0.05</v>
      </c>
      <c r="AB29" t="s">
        <v>309</v>
      </c>
      <c r="AD29">
        <v>34.4</v>
      </c>
      <c r="AE29">
        <v>34.4</v>
      </c>
      <c r="AF29" t="s">
        <v>309</v>
      </c>
      <c r="AG29" t="s">
        <v>424</v>
      </c>
      <c r="AH29">
        <v>584985.64300000004</v>
      </c>
      <c r="AI29">
        <v>6916445.9579999996</v>
      </c>
      <c r="AJ29">
        <v>1314.54</v>
      </c>
      <c r="AK29">
        <v>1316.06</v>
      </c>
      <c r="AL29">
        <v>1313.02</v>
      </c>
    </row>
    <row r="30" spans="1:38" x14ac:dyDescent="0.3">
      <c r="A30" t="str">
        <f t="shared" si="0"/>
        <v>CH15-106-MW002Sulfur, dissolved</v>
      </c>
      <c r="B30">
        <v>1650156</v>
      </c>
      <c r="C30" t="s">
        <v>416</v>
      </c>
      <c r="D30" t="s">
        <v>134</v>
      </c>
      <c r="E30" t="s">
        <v>134</v>
      </c>
      <c r="F30" s="88">
        <v>42523</v>
      </c>
      <c r="G30">
        <v>6.1</v>
      </c>
      <c r="H30">
        <v>9.14</v>
      </c>
      <c r="I30" t="s">
        <v>417</v>
      </c>
      <c r="J30" t="s">
        <v>418</v>
      </c>
      <c r="K30" t="s">
        <v>419</v>
      </c>
      <c r="L30" t="s">
        <v>437</v>
      </c>
      <c r="M30" t="s">
        <v>421</v>
      </c>
      <c r="N30">
        <v>100394531</v>
      </c>
      <c r="O30" t="s">
        <v>467</v>
      </c>
      <c r="P30" t="s">
        <v>468</v>
      </c>
      <c r="Q30">
        <v>1.46</v>
      </c>
      <c r="R30" t="s">
        <v>309</v>
      </c>
      <c r="S30">
        <v>0.5</v>
      </c>
      <c r="T30" t="s">
        <v>145</v>
      </c>
      <c r="U30" t="s">
        <v>145</v>
      </c>
      <c r="X30" t="s">
        <v>237</v>
      </c>
      <c r="Z30">
        <v>0.5</v>
      </c>
      <c r="AA30">
        <v>0.5</v>
      </c>
      <c r="AB30" t="s">
        <v>309</v>
      </c>
      <c r="AD30">
        <v>1.46</v>
      </c>
      <c r="AE30">
        <v>1.46</v>
      </c>
      <c r="AF30" t="s">
        <v>309</v>
      </c>
      <c r="AG30" t="s">
        <v>424</v>
      </c>
      <c r="AH30">
        <v>584985.64300000004</v>
      </c>
      <c r="AI30">
        <v>6916445.9579999996</v>
      </c>
      <c r="AJ30">
        <v>1314.54</v>
      </c>
      <c r="AK30">
        <v>1316.06</v>
      </c>
      <c r="AL30">
        <v>1313.02</v>
      </c>
    </row>
    <row r="31" spans="1:38" x14ac:dyDescent="0.3">
      <c r="A31" t="str">
        <f t="shared" si="0"/>
        <v>CH15-106-MW002Phosphorus, dissolved</v>
      </c>
      <c r="B31">
        <v>1650156</v>
      </c>
      <c r="C31" t="s">
        <v>416</v>
      </c>
      <c r="D31" t="s">
        <v>134</v>
      </c>
      <c r="E31" t="s">
        <v>134</v>
      </c>
      <c r="F31" s="88">
        <v>42523</v>
      </c>
      <c r="G31">
        <v>6.1</v>
      </c>
      <c r="H31">
        <v>9.14</v>
      </c>
      <c r="I31" t="s">
        <v>417</v>
      </c>
      <c r="J31" t="s">
        <v>418</v>
      </c>
      <c r="K31" t="s">
        <v>419</v>
      </c>
      <c r="L31" t="s">
        <v>437</v>
      </c>
      <c r="M31" t="s">
        <v>421</v>
      </c>
      <c r="N31">
        <v>100394531</v>
      </c>
      <c r="O31" t="s">
        <v>469</v>
      </c>
      <c r="P31" t="s">
        <v>470</v>
      </c>
      <c r="Q31">
        <v>0.3</v>
      </c>
      <c r="R31" t="s">
        <v>309</v>
      </c>
      <c r="S31">
        <v>0.3</v>
      </c>
      <c r="T31" t="s">
        <v>145</v>
      </c>
      <c r="U31" t="s">
        <v>426</v>
      </c>
      <c r="V31" t="s">
        <v>62</v>
      </c>
      <c r="W31" t="s">
        <v>62</v>
      </c>
      <c r="X31" t="s">
        <v>62</v>
      </c>
      <c r="Z31">
        <v>0.3</v>
      </c>
      <c r="AA31">
        <v>0.3</v>
      </c>
      <c r="AB31" t="s">
        <v>309</v>
      </c>
      <c r="AD31">
        <v>0.3</v>
      </c>
      <c r="AE31">
        <v>0.3</v>
      </c>
      <c r="AF31" t="s">
        <v>309</v>
      </c>
      <c r="AG31" t="s">
        <v>424</v>
      </c>
      <c r="AH31">
        <v>584985.64300000004</v>
      </c>
      <c r="AI31">
        <v>6916445.9579999996</v>
      </c>
      <c r="AJ31">
        <v>1314.54</v>
      </c>
      <c r="AK31">
        <v>1316.06</v>
      </c>
      <c r="AL31">
        <v>1313.02</v>
      </c>
    </row>
    <row r="32" spans="1:38" x14ac:dyDescent="0.3">
      <c r="A32" t="str">
        <f t="shared" si="0"/>
        <v>CH15-106-MW002Silica, Dissolved</v>
      </c>
      <c r="B32">
        <v>1650156</v>
      </c>
      <c r="C32" t="s">
        <v>416</v>
      </c>
      <c r="D32" t="s">
        <v>134</v>
      </c>
      <c r="E32" t="s">
        <v>134</v>
      </c>
      <c r="F32" s="88">
        <v>42523</v>
      </c>
      <c r="G32">
        <v>6.1</v>
      </c>
      <c r="H32">
        <v>9.14</v>
      </c>
      <c r="I32" t="s">
        <v>417</v>
      </c>
      <c r="J32" t="s">
        <v>418</v>
      </c>
      <c r="K32" t="s">
        <v>419</v>
      </c>
      <c r="L32" t="s">
        <v>420</v>
      </c>
      <c r="M32" t="s">
        <v>421</v>
      </c>
      <c r="N32">
        <v>100394532</v>
      </c>
      <c r="O32" t="s">
        <v>471</v>
      </c>
      <c r="P32" t="s">
        <v>472</v>
      </c>
      <c r="Q32">
        <v>17.899999999999999</v>
      </c>
      <c r="R32" t="s">
        <v>309</v>
      </c>
      <c r="S32">
        <v>0.2</v>
      </c>
      <c r="T32" t="s">
        <v>145</v>
      </c>
      <c r="U32" t="s">
        <v>145</v>
      </c>
      <c r="X32" t="s">
        <v>237</v>
      </c>
      <c r="Z32">
        <v>0.2</v>
      </c>
      <c r="AA32">
        <v>0.2</v>
      </c>
      <c r="AB32" t="s">
        <v>309</v>
      </c>
      <c r="AD32">
        <v>17.899999999999999</v>
      </c>
      <c r="AE32">
        <v>17.899999999999999</v>
      </c>
      <c r="AF32" t="s">
        <v>309</v>
      </c>
      <c r="AG32" t="s">
        <v>424</v>
      </c>
      <c r="AH32">
        <v>584985.64300000004</v>
      </c>
      <c r="AI32">
        <v>6916445.9579999996</v>
      </c>
      <c r="AJ32">
        <v>1314.54</v>
      </c>
      <c r="AK32">
        <v>1316.06</v>
      </c>
      <c r="AL32">
        <v>1313.02</v>
      </c>
    </row>
    <row r="33" spans="1:38" x14ac:dyDescent="0.3">
      <c r="A33" t="str">
        <f t="shared" si="0"/>
        <v>CH15-106-MW002Aluminum, dissolved</v>
      </c>
      <c r="B33">
        <v>1650156</v>
      </c>
      <c r="C33" t="s">
        <v>416</v>
      </c>
      <c r="D33" t="s">
        <v>134</v>
      </c>
      <c r="E33" t="s">
        <v>134</v>
      </c>
      <c r="F33" s="88">
        <v>42523</v>
      </c>
      <c r="G33">
        <v>6.1</v>
      </c>
      <c r="H33">
        <v>9.14</v>
      </c>
      <c r="I33" t="s">
        <v>417</v>
      </c>
      <c r="J33" t="s">
        <v>418</v>
      </c>
      <c r="K33" t="s">
        <v>419</v>
      </c>
      <c r="L33" t="s">
        <v>437</v>
      </c>
      <c r="M33" t="s">
        <v>421</v>
      </c>
      <c r="N33">
        <v>100394533</v>
      </c>
      <c r="O33" t="s">
        <v>473</v>
      </c>
      <c r="P33" t="s">
        <v>474</v>
      </c>
      <c r="Q33">
        <v>1E-3</v>
      </c>
      <c r="R33" t="s">
        <v>309</v>
      </c>
      <c r="S33">
        <v>1E-3</v>
      </c>
      <c r="T33" t="s">
        <v>145</v>
      </c>
      <c r="U33" t="s">
        <v>426</v>
      </c>
      <c r="V33" t="s">
        <v>62</v>
      </c>
      <c r="W33" t="s">
        <v>62</v>
      </c>
      <c r="X33" t="s">
        <v>237</v>
      </c>
      <c r="Z33">
        <v>1E-3</v>
      </c>
      <c r="AA33">
        <v>1E-3</v>
      </c>
      <c r="AB33" t="s">
        <v>309</v>
      </c>
      <c r="AD33">
        <v>7.7999999999999996E-3</v>
      </c>
      <c r="AE33">
        <v>7.7999999999999996E-3</v>
      </c>
      <c r="AF33" t="s">
        <v>309</v>
      </c>
      <c r="AG33" t="s">
        <v>424</v>
      </c>
      <c r="AH33">
        <v>584985.64300000004</v>
      </c>
      <c r="AI33">
        <v>6916445.9579999996</v>
      </c>
      <c r="AJ33">
        <v>1314.54</v>
      </c>
      <c r="AK33">
        <v>1316.06</v>
      </c>
      <c r="AL33">
        <v>1313.02</v>
      </c>
    </row>
    <row r="34" spans="1:38" x14ac:dyDescent="0.3">
      <c r="A34" t="str">
        <f t="shared" si="0"/>
        <v>CH15-106-MW002Lead (Pb)-Dissolved</v>
      </c>
      <c r="B34">
        <v>1650156</v>
      </c>
      <c r="C34" t="s">
        <v>416</v>
      </c>
      <c r="D34" t="s">
        <v>134</v>
      </c>
      <c r="E34" t="s">
        <v>134</v>
      </c>
      <c r="F34" s="88">
        <v>42523</v>
      </c>
      <c r="G34">
        <v>6.1</v>
      </c>
      <c r="H34">
        <v>9.14</v>
      </c>
      <c r="I34" t="s">
        <v>417</v>
      </c>
      <c r="J34" t="s">
        <v>418</v>
      </c>
      <c r="K34" t="s">
        <v>419</v>
      </c>
      <c r="L34" t="s">
        <v>437</v>
      </c>
      <c r="M34" t="s">
        <v>421</v>
      </c>
      <c r="N34">
        <v>100394533</v>
      </c>
      <c r="O34" t="s">
        <v>475</v>
      </c>
      <c r="P34" t="s">
        <v>476</v>
      </c>
      <c r="Q34">
        <v>4.3800000000000002E-4</v>
      </c>
      <c r="R34" t="s">
        <v>309</v>
      </c>
      <c r="S34">
        <v>5.0000000000000002E-5</v>
      </c>
      <c r="T34" t="s">
        <v>145</v>
      </c>
      <c r="U34" t="s">
        <v>145</v>
      </c>
      <c r="X34" t="s">
        <v>237</v>
      </c>
      <c r="Z34">
        <v>5.0000000000000002E-5</v>
      </c>
      <c r="AA34">
        <v>5.0000000000000002E-5</v>
      </c>
      <c r="AB34" t="s">
        <v>309</v>
      </c>
      <c r="AD34">
        <v>4.3800000000000002E-4</v>
      </c>
      <c r="AE34">
        <v>4.3800000000000002E-4</v>
      </c>
      <c r="AF34" t="s">
        <v>309</v>
      </c>
      <c r="AG34" t="s">
        <v>424</v>
      </c>
      <c r="AH34">
        <v>584985.64300000004</v>
      </c>
      <c r="AI34">
        <v>6916445.9579999996</v>
      </c>
      <c r="AJ34">
        <v>1314.54</v>
      </c>
      <c r="AK34">
        <v>1316.06</v>
      </c>
      <c r="AL34">
        <v>1313.02</v>
      </c>
    </row>
    <row r="35" spans="1:38" x14ac:dyDescent="0.3">
      <c r="A35" t="str">
        <f t="shared" si="0"/>
        <v>CH15-106-MW002Manganese, dissolved</v>
      </c>
      <c r="B35">
        <v>1650156</v>
      </c>
      <c r="C35" t="s">
        <v>416</v>
      </c>
      <c r="D35" t="s">
        <v>134</v>
      </c>
      <c r="E35" t="s">
        <v>134</v>
      </c>
      <c r="F35" s="88">
        <v>42523</v>
      </c>
      <c r="G35">
        <v>6.1</v>
      </c>
      <c r="H35">
        <v>9.14</v>
      </c>
      <c r="I35" t="s">
        <v>417</v>
      </c>
      <c r="J35" t="s">
        <v>418</v>
      </c>
      <c r="K35" t="s">
        <v>419</v>
      </c>
      <c r="L35" t="s">
        <v>437</v>
      </c>
      <c r="M35" t="s">
        <v>421</v>
      </c>
      <c r="N35">
        <v>100394533</v>
      </c>
      <c r="O35" t="s">
        <v>477</v>
      </c>
      <c r="P35" t="s">
        <v>478</v>
      </c>
      <c r="Q35">
        <v>2.1099999999999999E-3</v>
      </c>
      <c r="R35" t="s">
        <v>309</v>
      </c>
      <c r="S35">
        <v>1E-4</v>
      </c>
      <c r="T35" t="s">
        <v>145</v>
      </c>
      <c r="U35" t="s">
        <v>145</v>
      </c>
      <c r="X35" t="s">
        <v>237</v>
      </c>
      <c r="Z35">
        <v>1E-4</v>
      </c>
      <c r="AA35">
        <v>1E-4</v>
      </c>
      <c r="AB35" t="s">
        <v>309</v>
      </c>
      <c r="AD35">
        <v>2.1099999999999999E-3</v>
      </c>
      <c r="AE35">
        <v>2.1099999999999999E-3</v>
      </c>
      <c r="AF35" t="s">
        <v>309</v>
      </c>
      <c r="AG35" t="s">
        <v>424</v>
      </c>
      <c r="AH35">
        <v>584985.64300000004</v>
      </c>
      <c r="AI35">
        <v>6916445.9579999996</v>
      </c>
      <c r="AJ35">
        <v>1314.54</v>
      </c>
      <c r="AK35">
        <v>1316.06</v>
      </c>
      <c r="AL35">
        <v>1313.02</v>
      </c>
    </row>
    <row r="36" spans="1:38" x14ac:dyDescent="0.3">
      <c r="A36" t="str">
        <f t="shared" si="0"/>
        <v>CH15-106-MW002Molybdenum (Mo)-Dissolved</v>
      </c>
      <c r="B36">
        <v>1650156</v>
      </c>
      <c r="C36" t="s">
        <v>416</v>
      </c>
      <c r="D36" t="s">
        <v>134</v>
      </c>
      <c r="E36" t="s">
        <v>134</v>
      </c>
      <c r="F36" s="88">
        <v>42523</v>
      </c>
      <c r="G36">
        <v>6.1</v>
      </c>
      <c r="H36">
        <v>9.14</v>
      </c>
      <c r="I36" t="s">
        <v>417</v>
      </c>
      <c r="J36" t="s">
        <v>418</v>
      </c>
      <c r="K36" t="s">
        <v>419</v>
      </c>
      <c r="L36" t="s">
        <v>437</v>
      </c>
      <c r="M36" t="s">
        <v>421</v>
      </c>
      <c r="N36">
        <v>100394533</v>
      </c>
      <c r="O36" t="s">
        <v>479</v>
      </c>
      <c r="P36" t="s">
        <v>480</v>
      </c>
      <c r="Q36">
        <v>1.94E-4</v>
      </c>
      <c r="R36" t="s">
        <v>309</v>
      </c>
      <c r="S36">
        <v>5.0000000000000002E-5</v>
      </c>
      <c r="T36" t="s">
        <v>145</v>
      </c>
      <c r="U36" t="s">
        <v>145</v>
      </c>
      <c r="X36" t="s">
        <v>237</v>
      </c>
      <c r="Z36">
        <v>5.0000000000000002E-5</v>
      </c>
      <c r="AA36">
        <v>5.0000000000000002E-5</v>
      </c>
      <c r="AB36" t="s">
        <v>309</v>
      </c>
      <c r="AD36">
        <v>1.94E-4</v>
      </c>
      <c r="AE36">
        <v>1.94E-4</v>
      </c>
      <c r="AF36" t="s">
        <v>309</v>
      </c>
      <c r="AG36" t="s">
        <v>424</v>
      </c>
      <c r="AH36">
        <v>584985.64300000004</v>
      </c>
      <c r="AI36">
        <v>6916445.9579999996</v>
      </c>
      <c r="AJ36">
        <v>1314.54</v>
      </c>
      <c r="AK36">
        <v>1316.06</v>
      </c>
      <c r="AL36">
        <v>1313.02</v>
      </c>
    </row>
    <row r="37" spans="1:38" x14ac:dyDescent="0.3">
      <c r="A37" t="str">
        <f t="shared" si="0"/>
        <v>CH15-106-MW002Nickel (Ni)-Dissolved</v>
      </c>
      <c r="B37">
        <v>1650156</v>
      </c>
      <c r="C37" t="s">
        <v>416</v>
      </c>
      <c r="D37" t="s">
        <v>134</v>
      </c>
      <c r="E37" t="s">
        <v>134</v>
      </c>
      <c r="F37" s="88">
        <v>42523</v>
      </c>
      <c r="G37">
        <v>6.1</v>
      </c>
      <c r="H37">
        <v>9.14</v>
      </c>
      <c r="I37" t="s">
        <v>417</v>
      </c>
      <c r="J37" t="s">
        <v>418</v>
      </c>
      <c r="K37" t="s">
        <v>419</v>
      </c>
      <c r="L37" t="s">
        <v>437</v>
      </c>
      <c r="M37" t="s">
        <v>421</v>
      </c>
      <c r="N37">
        <v>100394533</v>
      </c>
      <c r="O37" t="s">
        <v>481</v>
      </c>
      <c r="P37" t="s">
        <v>482</v>
      </c>
      <c r="Q37">
        <v>8.0000000000000004E-4</v>
      </c>
      <c r="R37" t="s">
        <v>309</v>
      </c>
      <c r="S37">
        <v>5.0000000000000001E-4</v>
      </c>
      <c r="T37" t="s">
        <v>145</v>
      </c>
      <c r="U37" t="s">
        <v>145</v>
      </c>
      <c r="X37" t="s">
        <v>237</v>
      </c>
      <c r="Z37">
        <v>5.0000000000000001E-4</v>
      </c>
      <c r="AA37">
        <v>5.0000000000000001E-4</v>
      </c>
      <c r="AB37" t="s">
        <v>309</v>
      </c>
      <c r="AD37">
        <v>8.0000000000000004E-4</v>
      </c>
      <c r="AE37">
        <v>8.0000000000000004E-4</v>
      </c>
      <c r="AF37" t="s">
        <v>309</v>
      </c>
      <c r="AG37" t="s">
        <v>424</v>
      </c>
      <c r="AH37">
        <v>584985.64300000004</v>
      </c>
      <c r="AI37">
        <v>6916445.9579999996</v>
      </c>
      <c r="AJ37">
        <v>1314.54</v>
      </c>
      <c r="AK37">
        <v>1316.06</v>
      </c>
      <c r="AL37">
        <v>1313.02</v>
      </c>
    </row>
    <row r="38" spans="1:38" x14ac:dyDescent="0.3">
      <c r="A38" t="str">
        <f t="shared" si="0"/>
        <v>CH15-106-MW002Silver (Ag)-Dissolved</v>
      </c>
      <c r="B38">
        <v>1650156</v>
      </c>
      <c r="C38" t="s">
        <v>416</v>
      </c>
      <c r="D38" t="s">
        <v>134</v>
      </c>
      <c r="E38" t="s">
        <v>134</v>
      </c>
      <c r="F38" s="88">
        <v>42523</v>
      </c>
      <c r="G38">
        <v>6.1</v>
      </c>
      <c r="H38">
        <v>9.14</v>
      </c>
      <c r="I38" t="s">
        <v>417</v>
      </c>
      <c r="J38" t="s">
        <v>418</v>
      </c>
      <c r="K38" t="s">
        <v>419</v>
      </c>
      <c r="L38" t="s">
        <v>437</v>
      </c>
      <c r="M38" t="s">
        <v>421</v>
      </c>
      <c r="N38">
        <v>100394533</v>
      </c>
      <c r="O38" t="s">
        <v>483</v>
      </c>
      <c r="P38" t="s">
        <v>484</v>
      </c>
      <c r="Q38" s="87">
        <v>1.0000000000000001E-5</v>
      </c>
      <c r="R38" t="s">
        <v>309</v>
      </c>
      <c r="S38">
        <v>1.0000000000000001E-5</v>
      </c>
      <c r="T38" t="s">
        <v>145</v>
      </c>
      <c r="U38" t="s">
        <v>426</v>
      </c>
      <c r="V38" t="s">
        <v>62</v>
      </c>
      <c r="W38" t="s">
        <v>62</v>
      </c>
      <c r="X38" t="s">
        <v>62</v>
      </c>
      <c r="Z38">
        <v>1.0000000000000001E-5</v>
      </c>
      <c r="AA38">
        <v>1.0000000000000001E-5</v>
      </c>
      <c r="AB38" t="s">
        <v>309</v>
      </c>
      <c r="AD38">
        <v>1.0000000000000001E-5</v>
      </c>
      <c r="AE38">
        <v>1.0000000000000001E-5</v>
      </c>
      <c r="AF38" t="s">
        <v>309</v>
      </c>
      <c r="AG38" t="s">
        <v>424</v>
      </c>
      <c r="AH38">
        <v>584985.64300000004</v>
      </c>
      <c r="AI38">
        <v>6916445.9579999996</v>
      </c>
      <c r="AJ38">
        <v>1314.54</v>
      </c>
      <c r="AK38">
        <v>1316.06</v>
      </c>
      <c r="AL38">
        <v>1313.02</v>
      </c>
    </row>
    <row r="39" spans="1:38" x14ac:dyDescent="0.3">
      <c r="A39" t="str">
        <f t="shared" si="0"/>
        <v>CH15-106-MW002Sodium (Na)-Dissolved</v>
      </c>
      <c r="B39">
        <v>1650156</v>
      </c>
      <c r="C39" t="s">
        <v>416</v>
      </c>
      <c r="D39" t="s">
        <v>134</v>
      </c>
      <c r="E39" t="s">
        <v>134</v>
      </c>
      <c r="F39" s="88">
        <v>42523</v>
      </c>
      <c r="G39">
        <v>6.1</v>
      </c>
      <c r="H39">
        <v>9.14</v>
      </c>
      <c r="I39" t="s">
        <v>417</v>
      </c>
      <c r="J39" t="s">
        <v>418</v>
      </c>
      <c r="K39" t="s">
        <v>419</v>
      </c>
      <c r="L39" t="s">
        <v>437</v>
      </c>
      <c r="M39" t="s">
        <v>421</v>
      </c>
      <c r="N39">
        <v>100394533</v>
      </c>
      <c r="O39" t="s">
        <v>485</v>
      </c>
      <c r="P39" t="s">
        <v>486</v>
      </c>
      <c r="Q39">
        <v>1.83</v>
      </c>
      <c r="R39" t="s">
        <v>309</v>
      </c>
      <c r="S39">
        <v>0.05</v>
      </c>
      <c r="T39" t="s">
        <v>145</v>
      </c>
      <c r="U39" t="s">
        <v>145</v>
      </c>
      <c r="X39" t="s">
        <v>237</v>
      </c>
      <c r="Z39">
        <v>0.05</v>
      </c>
      <c r="AA39">
        <v>0.05</v>
      </c>
      <c r="AB39" t="s">
        <v>309</v>
      </c>
      <c r="AD39">
        <v>1.83</v>
      </c>
      <c r="AE39">
        <v>1.83</v>
      </c>
      <c r="AF39" t="s">
        <v>309</v>
      </c>
      <c r="AG39" t="s">
        <v>424</v>
      </c>
      <c r="AH39">
        <v>584985.64300000004</v>
      </c>
      <c r="AI39">
        <v>6916445.9579999996</v>
      </c>
      <c r="AJ39">
        <v>1314.54</v>
      </c>
      <c r="AK39">
        <v>1316.06</v>
      </c>
      <c r="AL39">
        <v>1313.02</v>
      </c>
    </row>
    <row r="40" spans="1:38" x14ac:dyDescent="0.3">
      <c r="A40" t="str">
        <f t="shared" si="0"/>
        <v>CH15-106-MW002Strontium, dissolved</v>
      </c>
      <c r="B40">
        <v>1650156</v>
      </c>
      <c r="C40" t="s">
        <v>416</v>
      </c>
      <c r="D40" t="s">
        <v>134</v>
      </c>
      <c r="E40" t="s">
        <v>134</v>
      </c>
      <c r="F40" s="88">
        <v>42523</v>
      </c>
      <c r="G40">
        <v>6.1</v>
      </c>
      <c r="H40">
        <v>9.14</v>
      </c>
      <c r="I40" t="s">
        <v>417</v>
      </c>
      <c r="J40" t="s">
        <v>418</v>
      </c>
      <c r="K40" t="s">
        <v>419</v>
      </c>
      <c r="L40" t="s">
        <v>437</v>
      </c>
      <c r="M40" t="s">
        <v>421</v>
      </c>
      <c r="N40">
        <v>100394533</v>
      </c>
      <c r="O40" t="s">
        <v>487</v>
      </c>
      <c r="P40" t="s">
        <v>488</v>
      </c>
      <c r="Q40">
        <v>0.11799999999999999</v>
      </c>
      <c r="R40" t="s">
        <v>309</v>
      </c>
      <c r="S40">
        <v>2.0000000000000001E-4</v>
      </c>
      <c r="T40" t="s">
        <v>145</v>
      </c>
      <c r="U40" t="s">
        <v>145</v>
      </c>
      <c r="X40" t="s">
        <v>237</v>
      </c>
      <c r="Z40">
        <v>2.0000000000000001E-4</v>
      </c>
      <c r="AA40">
        <v>2.0000000000000001E-4</v>
      </c>
      <c r="AB40" t="s">
        <v>309</v>
      </c>
      <c r="AD40">
        <v>0.11799999999999999</v>
      </c>
      <c r="AE40">
        <v>0.11799999999999999</v>
      </c>
      <c r="AF40" t="s">
        <v>309</v>
      </c>
      <c r="AG40" t="s">
        <v>424</v>
      </c>
      <c r="AH40">
        <v>584985.64300000004</v>
      </c>
      <c r="AI40">
        <v>6916445.9579999996</v>
      </c>
      <c r="AJ40">
        <v>1314.54</v>
      </c>
      <c r="AK40">
        <v>1316.06</v>
      </c>
      <c r="AL40">
        <v>1313.02</v>
      </c>
    </row>
    <row r="41" spans="1:38" x14ac:dyDescent="0.3">
      <c r="A41" t="str">
        <f t="shared" si="0"/>
        <v>CH15-106-MW002Thallium (Tl)-Dissolved</v>
      </c>
      <c r="B41">
        <v>1650156</v>
      </c>
      <c r="C41" t="s">
        <v>416</v>
      </c>
      <c r="D41" t="s">
        <v>134</v>
      </c>
      <c r="E41" t="s">
        <v>134</v>
      </c>
      <c r="F41" s="88">
        <v>42523</v>
      </c>
      <c r="G41">
        <v>6.1</v>
      </c>
      <c r="H41">
        <v>9.14</v>
      </c>
      <c r="I41" t="s">
        <v>417</v>
      </c>
      <c r="J41" t="s">
        <v>418</v>
      </c>
      <c r="K41" t="s">
        <v>419</v>
      </c>
      <c r="L41" t="s">
        <v>437</v>
      </c>
      <c r="M41" t="s">
        <v>421</v>
      </c>
      <c r="N41">
        <v>100394533</v>
      </c>
      <c r="O41" t="s">
        <v>489</v>
      </c>
      <c r="P41" t="s">
        <v>490</v>
      </c>
      <c r="Q41" s="87">
        <v>1.0000000000000001E-5</v>
      </c>
      <c r="R41" t="s">
        <v>309</v>
      </c>
      <c r="S41">
        <v>1.0000000000000001E-5</v>
      </c>
      <c r="T41" t="s">
        <v>145</v>
      </c>
      <c r="U41" t="s">
        <v>426</v>
      </c>
      <c r="V41" t="s">
        <v>62</v>
      </c>
      <c r="W41" t="s">
        <v>62</v>
      </c>
      <c r="X41" t="s">
        <v>62</v>
      </c>
      <c r="Z41">
        <v>1.0000000000000001E-5</v>
      </c>
      <c r="AA41">
        <v>1.0000000000000001E-5</v>
      </c>
      <c r="AB41" t="s">
        <v>309</v>
      </c>
      <c r="AD41">
        <v>1.0000000000000001E-5</v>
      </c>
      <c r="AE41">
        <v>1.0000000000000001E-5</v>
      </c>
      <c r="AF41" t="s">
        <v>309</v>
      </c>
      <c r="AG41" t="s">
        <v>424</v>
      </c>
      <c r="AH41">
        <v>584985.64300000004</v>
      </c>
      <c r="AI41">
        <v>6916445.9579999996</v>
      </c>
      <c r="AJ41">
        <v>1314.54</v>
      </c>
      <c r="AK41">
        <v>1316.06</v>
      </c>
      <c r="AL41">
        <v>1313.02</v>
      </c>
    </row>
    <row r="42" spans="1:38" x14ac:dyDescent="0.3">
      <c r="A42" t="str">
        <f t="shared" si="0"/>
        <v>CH15-106-MW002Titanium, dissolved</v>
      </c>
      <c r="B42">
        <v>1650156</v>
      </c>
      <c r="C42" t="s">
        <v>416</v>
      </c>
      <c r="D42" t="s">
        <v>134</v>
      </c>
      <c r="E42" t="s">
        <v>134</v>
      </c>
      <c r="F42" s="88">
        <v>42523</v>
      </c>
      <c r="G42">
        <v>6.1</v>
      </c>
      <c r="H42">
        <v>9.14</v>
      </c>
      <c r="I42" t="s">
        <v>417</v>
      </c>
      <c r="J42" t="s">
        <v>418</v>
      </c>
      <c r="K42" t="s">
        <v>419</v>
      </c>
      <c r="L42" t="s">
        <v>437</v>
      </c>
      <c r="M42" t="s">
        <v>421</v>
      </c>
      <c r="N42">
        <v>100394533</v>
      </c>
      <c r="O42" t="s">
        <v>491</v>
      </c>
      <c r="P42" t="s">
        <v>492</v>
      </c>
      <c r="Q42">
        <v>2.9999999999999997E-4</v>
      </c>
      <c r="R42" t="s">
        <v>309</v>
      </c>
      <c r="S42">
        <v>2.9999999999999997E-4</v>
      </c>
      <c r="T42" t="s">
        <v>145</v>
      </c>
      <c r="U42" t="s">
        <v>145</v>
      </c>
      <c r="X42" t="s">
        <v>237</v>
      </c>
      <c r="Z42">
        <v>2.9999999999999997E-4</v>
      </c>
      <c r="AA42">
        <v>2.9999999999999997E-4</v>
      </c>
      <c r="AB42" t="s">
        <v>309</v>
      </c>
      <c r="AD42">
        <v>2.9999999999999997E-4</v>
      </c>
      <c r="AE42">
        <v>2.9999999999999997E-4</v>
      </c>
      <c r="AF42" t="s">
        <v>309</v>
      </c>
      <c r="AG42" t="s">
        <v>424</v>
      </c>
      <c r="AH42">
        <v>584985.64300000004</v>
      </c>
      <c r="AI42">
        <v>6916445.9579999996</v>
      </c>
      <c r="AJ42">
        <v>1314.54</v>
      </c>
      <c r="AK42">
        <v>1316.06</v>
      </c>
      <c r="AL42">
        <v>1313.02</v>
      </c>
    </row>
    <row r="43" spans="1:38" x14ac:dyDescent="0.3">
      <c r="A43" t="str">
        <f t="shared" si="0"/>
        <v>CH15-106-MW002Antimony (Sb)-Dissolved</v>
      </c>
      <c r="B43">
        <v>1650156</v>
      </c>
      <c r="C43" t="s">
        <v>416</v>
      </c>
      <c r="D43" t="s">
        <v>134</v>
      </c>
      <c r="E43" t="s">
        <v>134</v>
      </c>
      <c r="F43" s="88">
        <v>42523</v>
      </c>
      <c r="G43">
        <v>6.1</v>
      </c>
      <c r="H43">
        <v>9.14</v>
      </c>
      <c r="I43" t="s">
        <v>417</v>
      </c>
      <c r="J43" t="s">
        <v>418</v>
      </c>
      <c r="K43" t="s">
        <v>419</v>
      </c>
      <c r="L43" t="s">
        <v>437</v>
      </c>
      <c r="M43" t="s">
        <v>421</v>
      </c>
      <c r="N43">
        <v>100394533</v>
      </c>
      <c r="O43" t="s">
        <v>493</v>
      </c>
      <c r="P43" t="s">
        <v>494</v>
      </c>
      <c r="Q43">
        <v>1E-4</v>
      </c>
      <c r="R43" t="s">
        <v>309</v>
      </c>
      <c r="S43">
        <v>1E-4</v>
      </c>
      <c r="T43" t="s">
        <v>145</v>
      </c>
      <c r="U43" t="s">
        <v>426</v>
      </c>
      <c r="V43" t="s">
        <v>62</v>
      </c>
      <c r="W43" t="s">
        <v>62</v>
      </c>
      <c r="X43" t="s">
        <v>62</v>
      </c>
      <c r="Z43">
        <v>1E-4</v>
      </c>
      <c r="AA43">
        <v>1E-4</v>
      </c>
      <c r="AB43" t="s">
        <v>309</v>
      </c>
      <c r="AD43">
        <v>1E-4</v>
      </c>
      <c r="AE43">
        <v>1E-4</v>
      </c>
      <c r="AF43" t="s">
        <v>309</v>
      </c>
      <c r="AG43" t="s">
        <v>424</v>
      </c>
      <c r="AH43">
        <v>584985.64300000004</v>
      </c>
      <c r="AI43">
        <v>6916445.9579999996</v>
      </c>
      <c r="AJ43">
        <v>1314.54</v>
      </c>
      <c r="AK43">
        <v>1316.06</v>
      </c>
      <c r="AL43">
        <v>1313.02</v>
      </c>
    </row>
    <row r="44" spans="1:38" x14ac:dyDescent="0.3">
      <c r="A44" t="str">
        <f t="shared" si="0"/>
        <v>CH15-106-MW002Barium (Ba)-Dissolved</v>
      </c>
      <c r="B44">
        <v>1650156</v>
      </c>
      <c r="C44" t="s">
        <v>416</v>
      </c>
      <c r="D44" t="s">
        <v>134</v>
      </c>
      <c r="E44" t="s">
        <v>134</v>
      </c>
      <c r="F44" s="88">
        <v>42523</v>
      </c>
      <c r="G44">
        <v>6.1</v>
      </c>
      <c r="H44">
        <v>9.14</v>
      </c>
      <c r="I44" t="s">
        <v>417</v>
      </c>
      <c r="J44" t="s">
        <v>418</v>
      </c>
      <c r="K44" t="s">
        <v>419</v>
      </c>
      <c r="L44" t="s">
        <v>437</v>
      </c>
      <c r="M44" t="s">
        <v>421</v>
      </c>
      <c r="N44">
        <v>100394533</v>
      </c>
      <c r="O44" t="s">
        <v>495</v>
      </c>
      <c r="P44" t="s">
        <v>496</v>
      </c>
      <c r="Q44">
        <v>0.17100000000000001</v>
      </c>
      <c r="R44" t="s">
        <v>309</v>
      </c>
      <c r="S44">
        <v>5.0000000000000002E-5</v>
      </c>
      <c r="T44" t="s">
        <v>145</v>
      </c>
      <c r="U44" t="s">
        <v>145</v>
      </c>
      <c r="X44" t="s">
        <v>237</v>
      </c>
      <c r="Z44">
        <v>5.0000000000000002E-5</v>
      </c>
      <c r="AA44">
        <v>5.0000000000000002E-5</v>
      </c>
      <c r="AB44" t="s">
        <v>309</v>
      </c>
      <c r="AD44">
        <v>0.17100000000000001</v>
      </c>
      <c r="AE44">
        <v>0.17100000000000001</v>
      </c>
      <c r="AF44" t="s">
        <v>309</v>
      </c>
      <c r="AG44" t="s">
        <v>424</v>
      </c>
      <c r="AH44">
        <v>584985.64300000004</v>
      </c>
      <c r="AI44">
        <v>6916445.9579999996</v>
      </c>
      <c r="AJ44">
        <v>1314.54</v>
      </c>
      <c r="AK44">
        <v>1316.06</v>
      </c>
      <c r="AL44">
        <v>1313.02</v>
      </c>
    </row>
    <row r="45" spans="1:38" x14ac:dyDescent="0.3">
      <c r="A45" t="str">
        <f t="shared" si="0"/>
        <v>CH15-106-MW002Beryllium (Be)-Dissolved</v>
      </c>
      <c r="B45">
        <v>1650156</v>
      </c>
      <c r="C45" t="s">
        <v>416</v>
      </c>
      <c r="D45" t="s">
        <v>134</v>
      </c>
      <c r="E45" t="s">
        <v>134</v>
      </c>
      <c r="F45" s="88">
        <v>42523</v>
      </c>
      <c r="G45">
        <v>6.1</v>
      </c>
      <c r="H45">
        <v>9.14</v>
      </c>
      <c r="I45" t="s">
        <v>417</v>
      </c>
      <c r="J45" t="s">
        <v>418</v>
      </c>
      <c r="K45" t="s">
        <v>419</v>
      </c>
      <c r="L45" t="s">
        <v>437</v>
      </c>
      <c r="M45" t="s">
        <v>421</v>
      </c>
      <c r="N45">
        <v>100394533</v>
      </c>
      <c r="O45" t="s">
        <v>497</v>
      </c>
      <c r="P45" t="s">
        <v>498</v>
      </c>
      <c r="Q45">
        <v>1E-4</v>
      </c>
      <c r="R45" t="s">
        <v>309</v>
      </c>
      <c r="S45">
        <v>1E-4</v>
      </c>
      <c r="T45" t="s">
        <v>145</v>
      </c>
      <c r="U45" t="s">
        <v>426</v>
      </c>
      <c r="V45" t="s">
        <v>62</v>
      </c>
      <c r="W45" t="s">
        <v>62</v>
      </c>
      <c r="X45" t="s">
        <v>62</v>
      </c>
      <c r="Z45">
        <v>1E-4</v>
      </c>
      <c r="AA45">
        <v>1E-4</v>
      </c>
      <c r="AB45" t="s">
        <v>309</v>
      </c>
      <c r="AD45">
        <v>1E-4</v>
      </c>
      <c r="AE45">
        <v>1E-4</v>
      </c>
      <c r="AF45" t="s">
        <v>309</v>
      </c>
      <c r="AG45" t="s">
        <v>424</v>
      </c>
      <c r="AH45">
        <v>584985.64300000004</v>
      </c>
      <c r="AI45">
        <v>6916445.9579999996</v>
      </c>
      <c r="AJ45">
        <v>1314.54</v>
      </c>
      <c r="AK45">
        <v>1316.06</v>
      </c>
      <c r="AL45">
        <v>1313.02</v>
      </c>
    </row>
    <row r="46" spans="1:38" x14ac:dyDescent="0.3">
      <c r="A46" t="str">
        <f t="shared" si="0"/>
        <v>CH15-106-MW002Boron (B)-Dissolved</v>
      </c>
      <c r="B46">
        <v>1650156</v>
      </c>
      <c r="C46" t="s">
        <v>416</v>
      </c>
      <c r="D46" t="s">
        <v>134</v>
      </c>
      <c r="E46" t="s">
        <v>134</v>
      </c>
      <c r="F46" s="88">
        <v>42523</v>
      </c>
      <c r="G46">
        <v>6.1</v>
      </c>
      <c r="H46">
        <v>9.14</v>
      </c>
      <c r="I46" t="s">
        <v>417</v>
      </c>
      <c r="J46" t="s">
        <v>418</v>
      </c>
      <c r="K46" t="s">
        <v>419</v>
      </c>
      <c r="L46" t="s">
        <v>437</v>
      </c>
      <c r="M46" t="s">
        <v>421</v>
      </c>
      <c r="N46">
        <v>100394533</v>
      </c>
      <c r="O46" t="s">
        <v>499</v>
      </c>
      <c r="P46" t="s">
        <v>500</v>
      </c>
      <c r="Q46">
        <v>0.01</v>
      </c>
      <c r="R46" t="s">
        <v>309</v>
      </c>
      <c r="S46">
        <v>0.01</v>
      </c>
      <c r="T46" t="s">
        <v>145</v>
      </c>
      <c r="U46" t="s">
        <v>426</v>
      </c>
      <c r="V46" t="s">
        <v>62</v>
      </c>
      <c r="W46" t="s">
        <v>62</v>
      </c>
      <c r="X46" t="s">
        <v>62</v>
      </c>
      <c r="Z46">
        <v>0.01</v>
      </c>
      <c r="AA46">
        <v>0.01</v>
      </c>
      <c r="AB46" t="s">
        <v>309</v>
      </c>
      <c r="AD46">
        <v>0.01</v>
      </c>
      <c r="AE46">
        <v>0.01</v>
      </c>
      <c r="AF46" t="s">
        <v>309</v>
      </c>
      <c r="AG46" t="s">
        <v>424</v>
      </c>
      <c r="AH46">
        <v>584985.64300000004</v>
      </c>
      <c r="AI46">
        <v>6916445.9579999996</v>
      </c>
      <c r="AJ46">
        <v>1314.54</v>
      </c>
      <c r="AK46">
        <v>1316.06</v>
      </c>
      <c r="AL46">
        <v>1313.02</v>
      </c>
    </row>
    <row r="47" spans="1:38" x14ac:dyDescent="0.3">
      <c r="A47" t="str">
        <f t="shared" si="0"/>
        <v>CH15-106-MW002Cadmium (Cd)-Dissolved</v>
      </c>
      <c r="B47">
        <v>1650156</v>
      </c>
      <c r="C47" t="s">
        <v>416</v>
      </c>
      <c r="D47" t="s">
        <v>134</v>
      </c>
      <c r="E47" t="s">
        <v>134</v>
      </c>
      <c r="F47" s="88">
        <v>42523</v>
      </c>
      <c r="G47">
        <v>6.1</v>
      </c>
      <c r="H47">
        <v>9.14</v>
      </c>
      <c r="I47" t="s">
        <v>417</v>
      </c>
      <c r="J47" t="s">
        <v>418</v>
      </c>
      <c r="K47" t="s">
        <v>419</v>
      </c>
      <c r="L47" t="s">
        <v>437</v>
      </c>
      <c r="M47" t="s">
        <v>421</v>
      </c>
      <c r="N47">
        <v>100394533</v>
      </c>
      <c r="O47" t="s">
        <v>501</v>
      </c>
      <c r="P47" t="s">
        <v>502</v>
      </c>
      <c r="Q47" s="87">
        <v>4.8300000000000002E-5</v>
      </c>
      <c r="R47" t="s">
        <v>309</v>
      </c>
      <c r="S47">
        <v>5.0000000000000004E-6</v>
      </c>
      <c r="T47" t="s">
        <v>145</v>
      </c>
      <c r="U47" t="s">
        <v>145</v>
      </c>
      <c r="X47" t="s">
        <v>237</v>
      </c>
      <c r="Z47">
        <v>5.0000000000000004E-6</v>
      </c>
      <c r="AA47">
        <v>5.0000000000000004E-6</v>
      </c>
      <c r="AB47" t="s">
        <v>309</v>
      </c>
      <c r="AD47">
        <v>4.8300000000000002E-5</v>
      </c>
      <c r="AE47">
        <v>4.8300000000000002E-5</v>
      </c>
      <c r="AF47" t="s">
        <v>309</v>
      </c>
      <c r="AG47" t="s">
        <v>424</v>
      </c>
      <c r="AH47">
        <v>584985.64300000004</v>
      </c>
      <c r="AI47">
        <v>6916445.9579999996</v>
      </c>
      <c r="AJ47">
        <v>1314.54</v>
      </c>
      <c r="AK47">
        <v>1316.06</v>
      </c>
      <c r="AL47">
        <v>1313.02</v>
      </c>
    </row>
    <row r="48" spans="1:38" x14ac:dyDescent="0.3">
      <c r="A48" t="str">
        <f t="shared" si="0"/>
        <v>CH15-106-MW002Chromium (Cr)-Dissolved</v>
      </c>
      <c r="B48">
        <v>1650156</v>
      </c>
      <c r="C48" t="s">
        <v>416</v>
      </c>
      <c r="D48" t="s">
        <v>134</v>
      </c>
      <c r="E48" t="s">
        <v>134</v>
      </c>
      <c r="F48" s="88">
        <v>42523</v>
      </c>
      <c r="G48">
        <v>6.1</v>
      </c>
      <c r="H48">
        <v>9.14</v>
      </c>
      <c r="I48" t="s">
        <v>417</v>
      </c>
      <c r="J48" t="s">
        <v>418</v>
      </c>
      <c r="K48" t="s">
        <v>419</v>
      </c>
      <c r="L48" t="s">
        <v>437</v>
      </c>
      <c r="M48" t="s">
        <v>421</v>
      </c>
      <c r="N48">
        <v>100394533</v>
      </c>
      <c r="O48" t="s">
        <v>503</v>
      </c>
      <c r="P48" t="s">
        <v>504</v>
      </c>
      <c r="Q48">
        <v>4.6000000000000001E-4</v>
      </c>
      <c r="R48" t="s">
        <v>309</v>
      </c>
      <c r="S48">
        <v>1E-4</v>
      </c>
      <c r="T48" t="s">
        <v>145</v>
      </c>
      <c r="U48" t="s">
        <v>145</v>
      </c>
      <c r="X48" t="s">
        <v>237</v>
      </c>
      <c r="Z48">
        <v>1E-4</v>
      </c>
      <c r="AA48">
        <v>1E-4</v>
      </c>
      <c r="AB48" t="s">
        <v>309</v>
      </c>
      <c r="AD48">
        <v>4.6000000000000001E-4</v>
      </c>
      <c r="AE48">
        <v>4.6000000000000001E-4</v>
      </c>
      <c r="AF48" t="s">
        <v>309</v>
      </c>
      <c r="AG48" t="s">
        <v>424</v>
      </c>
      <c r="AH48">
        <v>584985.64300000004</v>
      </c>
      <c r="AI48">
        <v>6916445.9579999996</v>
      </c>
      <c r="AJ48">
        <v>1314.54</v>
      </c>
      <c r="AK48">
        <v>1316.06</v>
      </c>
      <c r="AL48">
        <v>1313.02</v>
      </c>
    </row>
    <row r="49" spans="1:38" x14ac:dyDescent="0.3">
      <c r="A49" t="str">
        <f t="shared" si="0"/>
        <v>CH15-106-MW002Cobalt (Co)-Dissolved</v>
      </c>
      <c r="B49">
        <v>1650156</v>
      </c>
      <c r="C49" t="s">
        <v>416</v>
      </c>
      <c r="D49" t="s">
        <v>134</v>
      </c>
      <c r="E49" t="s">
        <v>134</v>
      </c>
      <c r="F49" s="88">
        <v>42523</v>
      </c>
      <c r="G49">
        <v>6.1</v>
      </c>
      <c r="H49">
        <v>9.14</v>
      </c>
      <c r="I49" t="s">
        <v>417</v>
      </c>
      <c r="J49" t="s">
        <v>418</v>
      </c>
      <c r="K49" t="s">
        <v>419</v>
      </c>
      <c r="L49" t="s">
        <v>437</v>
      </c>
      <c r="M49" t="s">
        <v>421</v>
      </c>
      <c r="N49">
        <v>100394533</v>
      </c>
      <c r="O49" t="s">
        <v>505</v>
      </c>
      <c r="P49" t="s">
        <v>506</v>
      </c>
      <c r="Q49">
        <v>1E-4</v>
      </c>
      <c r="R49" t="s">
        <v>309</v>
      </c>
      <c r="S49">
        <v>1E-4</v>
      </c>
      <c r="T49" t="s">
        <v>145</v>
      </c>
      <c r="U49" t="s">
        <v>426</v>
      </c>
      <c r="V49" t="s">
        <v>62</v>
      </c>
      <c r="W49" t="s">
        <v>62</v>
      </c>
      <c r="X49" t="s">
        <v>62</v>
      </c>
      <c r="Z49">
        <v>1E-4</v>
      </c>
      <c r="AA49">
        <v>1E-4</v>
      </c>
      <c r="AB49" t="s">
        <v>309</v>
      </c>
      <c r="AD49">
        <v>1E-4</v>
      </c>
      <c r="AE49">
        <v>1E-4</v>
      </c>
      <c r="AF49" t="s">
        <v>309</v>
      </c>
      <c r="AG49" t="s">
        <v>424</v>
      </c>
      <c r="AH49">
        <v>584985.64300000004</v>
      </c>
      <c r="AI49">
        <v>6916445.9579999996</v>
      </c>
      <c r="AJ49">
        <v>1314.54</v>
      </c>
      <c r="AK49">
        <v>1316.06</v>
      </c>
      <c r="AL49">
        <v>1313.02</v>
      </c>
    </row>
    <row r="50" spans="1:38" x14ac:dyDescent="0.3">
      <c r="A50" t="str">
        <f t="shared" si="0"/>
        <v>CH15-106-MW002Copper (Cu)-Dissolved</v>
      </c>
      <c r="B50">
        <v>1650156</v>
      </c>
      <c r="C50" t="s">
        <v>416</v>
      </c>
      <c r="D50" t="s">
        <v>134</v>
      </c>
      <c r="E50" t="s">
        <v>134</v>
      </c>
      <c r="F50" s="88">
        <v>42523</v>
      </c>
      <c r="G50">
        <v>6.1</v>
      </c>
      <c r="H50">
        <v>9.14</v>
      </c>
      <c r="I50" t="s">
        <v>417</v>
      </c>
      <c r="J50" t="s">
        <v>418</v>
      </c>
      <c r="K50" t="s">
        <v>419</v>
      </c>
      <c r="L50" t="s">
        <v>437</v>
      </c>
      <c r="M50" t="s">
        <v>421</v>
      </c>
      <c r="N50">
        <v>100394533</v>
      </c>
      <c r="O50" t="s">
        <v>507</v>
      </c>
      <c r="P50" t="s">
        <v>508</v>
      </c>
      <c r="Q50">
        <v>1.4E-3</v>
      </c>
      <c r="R50" t="s">
        <v>309</v>
      </c>
      <c r="S50">
        <v>2.0000000000000001E-4</v>
      </c>
      <c r="T50" t="s">
        <v>145</v>
      </c>
      <c r="U50" t="s">
        <v>145</v>
      </c>
      <c r="X50" t="s">
        <v>237</v>
      </c>
      <c r="Z50">
        <v>2.0000000000000001E-4</v>
      </c>
      <c r="AA50">
        <v>2.0000000000000001E-4</v>
      </c>
      <c r="AB50" t="s">
        <v>309</v>
      </c>
      <c r="AD50">
        <v>1.4E-3</v>
      </c>
      <c r="AE50">
        <v>1.4E-3</v>
      </c>
      <c r="AF50" t="s">
        <v>309</v>
      </c>
      <c r="AG50" t="s">
        <v>424</v>
      </c>
      <c r="AH50">
        <v>584985.64300000004</v>
      </c>
      <c r="AI50">
        <v>6916445.9579999996</v>
      </c>
      <c r="AJ50">
        <v>1314.54</v>
      </c>
      <c r="AK50">
        <v>1316.06</v>
      </c>
      <c r="AL50">
        <v>1313.02</v>
      </c>
    </row>
    <row r="51" spans="1:38" x14ac:dyDescent="0.3">
      <c r="A51" t="str">
        <f t="shared" si="0"/>
        <v>CH15-106-MW002Uranium (U)-Dissolved</v>
      </c>
      <c r="B51">
        <v>1650156</v>
      </c>
      <c r="C51" t="s">
        <v>416</v>
      </c>
      <c r="D51" t="s">
        <v>134</v>
      </c>
      <c r="E51" t="s">
        <v>134</v>
      </c>
      <c r="F51" s="88">
        <v>42523</v>
      </c>
      <c r="G51">
        <v>6.1</v>
      </c>
      <c r="H51">
        <v>9.14</v>
      </c>
      <c r="I51" t="s">
        <v>417</v>
      </c>
      <c r="J51" t="s">
        <v>418</v>
      </c>
      <c r="K51" t="s">
        <v>419</v>
      </c>
      <c r="L51" t="s">
        <v>437</v>
      </c>
      <c r="M51" t="s">
        <v>421</v>
      </c>
      <c r="N51">
        <v>100394533</v>
      </c>
      <c r="O51" t="s">
        <v>509</v>
      </c>
      <c r="P51" t="s">
        <v>510</v>
      </c>
      <c r="Q51">
        <v>1.5200000000000001E-4</v>
      </c>
      <c r="R51" t="s">
        <v>309</v>
      </c>
      <c r="S51">
        <v>1.0000000000000001E-5</v>
      </c>
      <c r="T51" t="s">
        <v>145</v>
      </c>
      <c r="U51" t="s">
        <v>145</v>
      </c>
      <c r="X51" t="s">
        <v>237</v>
      </c>
      <c r="Z51">
        <v>1.0000000000000001E-5</v>
      </c>
      <c r="AA51">
        <v>1.0000000000000001E-5</v>
      </c>
      <c r="AB51" t="s">
        <v>309</v>
      </c>
      <c r="AD51">
        <v>1.5200000000000001E-4</v>
      </c>
      <c r="AE51">
        <v>1.5200000000000001E-4</v>
      </c>
      <c r="AF51" t="s">
        <v>309</v>
      </c>
      <c r="AG51" t="s">
        <v>424</v>
      </c>
      <c r="AH51">
        <v>584985.64300000004</v>
      </c>
      <c r="AI51">
        <v>6916445.9579999996</v>
      </c>
      <c r="AJ51">
        <v>1314.54</v>
      </c>
      <c r="AK51">
        <v>1316.06</v>
      </c>
      <c r="AL51">
        <v>1313.02</v>
      </c>
    </row>
    <row r="52" spans="1:38" x14ac:dyDescent="0.3">
      <c r="A52" t="str">
        <f t="shared" si="0"/>
        <v>CH15-106-MW002Vanadium (V)-Dissolved</v>
      </c>
      <c r="B52">
        <v>1650156</v>
      </c>
      <c r="C52" t="s">
        <v>416</v>
      </c>
      <c r="D52" t="s">
        <v>134</v>
      </c>
      <c r="E52" t="s">
        <v>134</v>
      </c>
      <c r="F52" s="88">
        <v>42523</v>
      </c>
      <c r="G52">
        <v>6.1</v>
      </c>
      <c r="H52">
        <v>9.14</v>
      </c>
      <c r="I52" t="s">
        <v>417</v>
      </c>
      <c r="J52" t="s">
        <v>418</v>
      </c>
      <c r="K52" t="s">
        <v>419</v>
      </c>
      <c r="L52" t="s">
        <v>437</v>
      </c>
      <c r="M52" t="s">
        <v>421</v>
      </c>
      <c r="N52">
        <v>100394533</v>
      </c>
      <c r="O52" t="s">
        <v>511</v>
      </c>
      <c r="P52" t="s">
        <v>512</v>
      </c>
      <c r="Q52">
        <v>5.0000000000000001E-4</v>
      </c>
      <c r="R52" t="s">
        <v>309</v>
      </c>
      <c r="S52">
        <v>5.0000000000000001E-4</v>
      </c>
      <c r="T52" t="s">
        <v>145</v>
      </c>
      <c r="U52" t="s">
        <v>426</v>
      </c>
      <c r="V52" t="s">
        <v>62</v>
      </c>
      <c r="W52" t="s">
        <v>62</v>
      </c>
      <c r="X52" t="s">
        <v>62</v>
      </c>
      <c r="Z52">
        <v>5.0000000000000001E-4</v>
      </c>
      <c r="AA52">
        <v>5.0000000000000001E-4</v>
      </c>
      <c r="AB52" t="s">
        <v>309</v>
      </c>
      <c r="AD52">
        <v>5.0000000000000001E-4</v>
      </c>
      <c r="AE52">
        <v>5.0000000000000001E-4</v>
      </c>
      <c r="AF52" t="s">
        <v>309</v>
      </c>
      <c r="AG52" t="s">
        <v>424</v>
      </c>
      <c r="AH52">
        <v>584985.64300000004</v>
      </c>
      <c r="AI52">
        <v>6916445.9579999996</v>
      </c>
      <c r="AJ52">
        <v>1314.54</v>
      </c>
      <c r="AK52">
        <v>1316.06</v>
      </c>
      <c r="AL52">
        <v>1313.02</v>
      </c>
    </row>
    <row r="53" spans="1:38" x14ac:dyDescent="0.3">
      <c r="A53" t="str">
        <f t="shared" si="0"/>
        <v>CH15-106-MW002Zinc (Zn)-Dissolved</v>
      </c>
      <c r="B53">
        <v>1650156</v>
      </c>
      <c r="C53" t="s">
        <v>416</v>
      </c>
      <c r="D53" t="s">
        <v>134</v>
      </c>
      <c r="E53" t="s">
        <v>134</v>
      </c>
      <c r="F53" s="88">
        <v>42523</v>
      </c>
      <c r="G53">
        <v>6.1</v>
      </c>
      <c r="H53">
        <v>9.14</v>
      </c>
      <c r="I53" t="s">
        <v>417</v>
      </c>
      <c r="J53" t="s">
        <v>418</v>
      </c>
      <c r="K53" t="s">
        <v>419</v>
      </c>
      <c r="L53" t="s">
        <v>437</v>
      </c>
      <c r="M53" t="s">
        <v>421</v>
      </c>
      <c r="N53">
        <v>100394533</v>
      </c>
      <c r="O53" t="s">
        <v>513</v>
      </c>
      <c r="P53" t="s">
        <v>514</v>
      </c>
      <c r="Q53">
        <v>1E-3</v>
      </c>
      <c r="R53" t="s">
        <v>309</v>
      </c>
      <c r="S53">
        <v>1E-3</v>
      </c>
      <c r="T53" t="s">
        <v>145</v>
      </c>
      <c r="U53" t="s">
        <v>426</v>
      </c>
      <c r="V53" t="s">
        <v>62</v>
      </c>
      <c r="W53" t="s">
        <v>62</v>
      </c>
      <c r="X53" t="s">
        <v>237</v>
      </c>
      <c r="Z53">
        <v>1E-3</v>
      </c>
      <c r="AA53">
        <v>1E-3</v>
      </c>
      <c r="AB53" t="s">
        <v>309</v>
      </c>
      <c r="AD53">
        <v>7.4999999999999997E-3</v>
      </c>
      <c r="AE53">
        <v>7.4999999999999997E-3</v>
      </c>
      <c r="AF53" t="s">
        <v>309</v>
      </c>
      <c r="AG53" t="s">
        <v>424</v>
      </c>
      <c r="AH53">
        <v>584985.64300000004</v>
      </c>
      <c r="AI53">
        <v>6916445.9579999996</v>
      </c>
      <c r="AJ53">
        <v>1314.54</v>
      </c>
      <c r="AK53">
        <v>1316.06</v>
      </c>
      <c r="AL53">
        <v>1313.02</v>
      </c>
    </row>
    <row r="54" spans="1:38" x14ac:dyDescent="0.3">
      <c r="A54" t="str">
        <f t="shared" si="0"/>
        <v>CH15-106-MW002Selenium (Se)-Dissolved</v>
      </c>
      <c r="B54">
        <v>1650156</v>
      </c>
      <c r="C54" t="s">
        <v>416</v>
      </c>
      <c r="D54" t="s">
        <v>134</v>
      </c>
      <c r="E54" t="s">
        <v>134</v>
      </c>
      <c r="F54" s="88">
        <v>42523</v>
      </c>
      <c r="G54">
        <v>6.1</v>
      </c>
      <c r="H54">
        <v>9.14</v>
      </c>
      <c r="I54" t="s">
        <v>417</v>
      </c>
      <c r="J54" t="s">
        <v>418</v>
      </c>
      <c r="K54" t="s">
        <v>419</v>
      </c>
      <c r="L54" t="s">
        <v>437</v>
      </c>
      <c r="M54" t="s">
        <v>421</v>
      </c>
      <c r="N54">
        <v>100394533</v>
      </c>
      <c r="O54" t="s">
        <v>515</v>
      </c>
      <c r="P54" t="s">
        <v>516</v>
      </c>
      <c r="Q54" s="87">
        <v>9.1000000000000003E-5</v>
      </c>
      <c r="R54" t="s">
        <v>309</v>
      </c>
      <c r="S54">
        <v>5.0000000000000002E-5</v>
      </c>
      <c r="T54" t="s">
        <v>145</v>
      </c>
      <c r="U54" t="s">
        <v>145</v>
      </c>
      <c r="X54" t="s">
        <v>237</v>
      </c>
      <c r="Z54">
        <v>5.0000000000000002E-5</v>
      </c>
      <c r="AA54">
        <v>5.0000000000000002E-5</v>
      </c>
      <c r="AB54" t="s">
        <v>309</v>
      </c>
      <c r="AD54">
        <v>9.1000000000000003E-5</v>
      </c>
      <c r="AE54">
        <v>9.1000000000000003E-5</v>
      </c>
      <c r="AF54" t="s">
        <v>309</v>
      </c>
      <c r="AG54" t="s">
        <v>424</v>
      </c>
      <c r="AH54">
        <v>584985.64300000004</v>
      </c>
      <c r="AI54">
        <v>6916445.9579999996</v>
      </c>
      <c r="AJ54">
        <v>1314.54</v>
      </c>
      <c r="AK54">
        <v>1316.06</v>
      </c>
      <c r="AL54">
        <v>1313.02</v>
      </c>
    </row>
    <row r="55" spans="1:38" x14ac:dyDescent="0.3">
      <c r="A55" t="str">
        <f t="shared" si="0"/>
        <v>CH15-106-MW002Lithium, dissolved</v>
      </c>
      <c r="B55">
        <v>1650156</v>
      </c>
      <c r="C55" t="s">
        <v>416</v>
      </c>
      <c r="D55" t="s">
        <v>134</v>
      </c>
      <c r="E55" t="s">
        <v>134</v>
      </c>
      <c r="F55" s="88">
        <v>42523</v>
      </c>
      <c r="G55">
        <v>6.1</v>
      </c>
      <c r="H55">
        <v>9.14</v>
      </c>
      <c r="I55" t="s">
        <v>417</v>
      </c>
      <c r="J55" t="s">
        <v>418</v>
      </c>
      <c r="K55" t="s">
        <v>419</v>
      </c>
      <c r="L55" t="s">
        <v>437</v>
      </c>
      <c r="M55" t="s">
        <v>421</v>
      </c>
      <c r="N55">
        <v>100394534</v>
      </c>
      <c r="O55" t="s">
        <v>517</v>
      </c>
      <c r="P55" t="s">
        <v>518</v>
      </c>
      <c r="Q55">
        <v>4.8999999999999998E-3</v>
      </c>
      <c r="R55" t="s">
        <v>309</v>
      </c>
      <c r="S55">
        <v>1E-3</v>
      </c>
      <c r="T55" t="s">
        <v>145</v>
      </c>
      <c r="U55" t="s">
        <v>145</v>
      </c>
      <c r="X55" t="s">
        <v>237</v>
      </c>
      <c r="Z55">
        <v>1E-3</v>
      </c>
      <c r="AA55">
        <v>1E-3</v>
      </c>
      <c r="AB55" t="s">
        <v>309</v>
      </c>
      <c r="AD55">
        <v>4.8999999999999998E-3</v>
      </c>
      <c r="AE55">
        <v>4.8999999999999998E-3</v>
      </c>
      <c r="AF55" t="s">
        <v>309</v>
      </c>
      <c r="AG55" t="s">
        <v>424</v>
      </c>
      <c r="AH55">
        <v>584985.64300000004</v>
      </c>
      <c r="AI55">
        <v>6916445.9579999996</v>
      </c>
      <c r="AJ55">
        <v>1314.54</v>
      </c>
      <c r="AK55">
        <v>1316.06</v>
      </c>
      <c r="AL55">
        <v>1313.02</v>
      </c>
    </row>
    <row r="56" spans="1:38" x14ac:dyDescent="0.3">
      <c r="A56" t="str">
        <f t="shared" si="0"/>
        <v>CH15-106-MW002Potassium, dissolved</v>
      </c>
      <c r="B56">
        <v>1650156</v>
      </c>
      <c r="C56" t="s">
        <v>416</v>
      </c>
      <c r="D56" t="s">
        <v>134</v>
      </c>
      <c r="E56" t="s">
        <v>134</v>
      </c>
      <c r="F56" s="88">
        <v>42523</v>
      </c>
      <c r="G56">
        <v>6.1</v>
      </c>
      <c r="H56">
        <v>9.14</v>
      </c>
      <c r="I56" t="s">
        <v>417</v>
      </c>
      <c r="J56" t="s">
        <v>418</v>
      </c>
      <c r="K56" t="s">
        <v>419</v>
      </c>
      <c r="L56" t="s">
        <v>437</v>
      </c>
      <c r="M56" t="s">
        <v>421</v>
      </c>
      <c r="N56">
        <v>100394534</v>
      </c>
      <c r="O56" t="s">
        <v>519</v>
      </c>
      <c r="P56" t="s">
        <v>520</v>
      </c>
      <c r="Q56">
        <v>1</v>
      </c>
      <c r="R56" t="s">
        <v>309</v>
      </c>
      <c r="S56">
        <v>0.05</v>
      </c>
      <c r="T56" t="s">
        <v>145</v>
      </c>
      <c r="U56" t="s">
        <v>145</v>
      </c>
      <c r="X56" t="s">
        <v>237</v>
      </c>
      <c r="Z56">
        <v>0.05</v>
      </c>
      <c r="AA56">
        <v>0.05</v>
      </c>
      <c r="AB56" t="s">
        <v>309</v>
      </c>
      <c r="AD56">
        <v>1</v>
      </c>
      <c r="AE56">
        <v>1</v>
      </c>
      <c r="AF56" t="s">
        <v>309</v>
      </c>
      <c r="AG56" t="s">
        <v>424</v>
      </c>
      <c r="AH56">
        <v>584985.64300000004</v>
      </c>
      <c r="AI56">
        <v>6916445.9579999996</v>
      </c>
      <c r="AJ56">
        <v>1314.54</v>
      </c>
      <c r="AK56">
        <v>1316.06</v>
      </c>
      <c r="AL56">
        <v>1313.02</v>
      </c>
    </row>
    <row r="57" spans="1:38" x14ac:dyDescent="0.3">
      <c r="A57" t="str">
        <f t="shared" si="0"/>
        <v>CH15-106-MW002Arsenic (As)-Dissolved</v>
      </c>
      <c r="B57">
        <v>1650156</v>
      </c>
      <c r="C57" t="s">
        <v>416</v>
      </c>
      <c r="D57" t="s">
        <v>134</v>
      </c>
      <c r="E57" t="s">
        <v>134</v>
      </c>
      <c r="F57" s="88">
        <v>42523</v>
      </c>
      <c r="G57">
        <v>6.1</v>
      </c>
      <c r="H57">
        <v>9.14</v>
      </c>
      <c r="I57" t="s">
        <v>417</v>
      </c>
      <c r="J57" t="s">
        <v>418</v>
      </c>
      <c r="K57" t="s">
        <v>419</v>
      </c>
      <c r="L57" t="s">
        <v>437</v>
      </c>
      <c r="M57" t="s">
        <v>421</v>
      </c>
      <c r="N57">
        <v>100394534</v>
      </c>
      <c r="O57" t="s">
        <v>521</v>
      </c>
      <c r="P57" t="s">
        <v>522</v>
      </c>
      <c r="Q57">
        <v>1.7000000000000001E-4</v>
      </c>
      <c r="R57" t="s">
        <v>309</v>
      </c>
      <c r="S57">
        <v>1E-4</v>
      </c>
      <c r="T57" t="s">
        <v>145</v>
      </c>
      <c r="U57" t="s">
        <v>145</v>
      </c>
      <c r="X57" t="s">
        <v>237</v>
      </c>
      <c r="Z57">
        <v>1E-4</v>
      </c>
      <c r="AA57">
        <v>1E-4</v>
      </c>
      <c r="AB57" t="s">
        <v>309</v>
      </c>
      <c r="AD57">
        <v>1.7000000000000001E-4</v>
      </c>
      <c r="AE57">
        <v>1.7000000000000001E-4</v>
      </c>
      <c r="AF57" t="s">
        <v>309</v>
      </c>
      <c r="AG57" t="s">
        <v>424</v>
      </c>
      <c r="AH57">
        <v>584985.64300000004</v>
      </c>
      <c r="AI57">
        <v>6916445.9579999996</v>
      </c>
      <c r="AJ57">
        <v>1314.54</v>
      </c>
      <c r="AK57">
        <v>1316.06</v>
      </c>
      <c r="AL57">
        <v>1313.02</v>
      </c>
    </row>
    <row r="58" spans="1:38" x14ac:dyDescent="0.3">
      <c r="A58" t="str">
        <f t="shared" si="0"/>
        <v>CH15-106-MW006Conductivity, Field</v>
      </c>
      <c r="B58">
        <v>1650156</v>
      </c>
      <c r="C58" t="s">
        <v>416</v>
      </c>
      <c r="D58" t="s">
        <v>142</v>
      </c>
      <c r="E58" t="s">
        <v>142</v>
      </c>
      <c r="F58" s="88">
        <v>42523</v>
      </c>
      <c r="G58">
        <v>-999</v>
      </c>
      <c r="H58">
        <v>-999</v>
      </c>
      <c r="I58" t="s">
        <v>417</v>
      </c>
      <c r="J58" t="s">
        <v>418</v>
      </c>
      <c r="K58" t="s">
        <v>426</v>
      </c>
      <c r="N58">
        <v>100365176</v>
      </c>
      <c r="O58" t="s">
        <v>427</v>
      </c>
      <c r="P58" t="s">
        <v>428</v>
      </c>
      <c r="Q58">
        <v>0.13900000000000001</v>
      </c>
      <c r="R58" t="s">
        <v>307</v>
      </c>
      <c r="T58" t="s">
        <v>145</v>
      </c>
      <c r="U58" t="s">
        <v>145</v>
      </c>
      <c r="AD58">
        <v>0.13900000000000001</v>
      </c>
      <c r="AE58">
        <v>0.13900000000000001</v>
      </c>
      <c r="AF58" t="s">
        <v>307</v>
      </c>
      <c r="AG58" t="s">
        <v>424</v>
      </c>
      <c r="AH58">
        <v>585316.98699999996</v>
      </c>
      <c r="AI58">
        <v>6916726.6519999998</v>
      </c>
      <c r="AJ58">
        <v>2310.634</v>
      </c>
      <c r="AK58">
        <v>2310.634</v>
      </c>
      <c r="AL58">
        <v>2310.634</v>
      </c>
    </row>
    <row r="59" spans="1:38" x14ac:dyDescent="0.3">
      <c r="A59" t="str">
        <f t="shared" si="0"/>
        <v>CH15-106-MW006Dissolved Oxygen, Field</v>
      </c>
      <c r="B59">
        <v>1650156</v>
      </c>
      <c r="C59" t="s">
        <v>416</v>
      </c>
      <c r="D59" t="s">
        <v>142</v>
      </c>
      <c r="E59" t="s">
        <v>142</v>
      </c>
      <c r="F59" s="88">
        <v>42523</v>
      </c>
      <c r="G59">
        <v>-999</v>
      </c>
      <c r="H59">
        <v>-999</v>
      </c>
      <c r="I59" t="s">
        <v>417</v>
      </c>
      <c r="J59" t="s">
        <v>418</v>
      </c>
      <c r="K59" t="s">
        <v>426</v>
      </c>
      <c r="N59">
        <v>100365176</v>
      </c>
      <c r="O59" t="s">
        <v>429</v>
      </c>
      <c r="P59" t="s">
        <v>430</v>
      </c>
      <c r="Q59">
        <v>6.01</v>
      </c>
      <c r="R59" t="s">
        <v>309</v>
      </c>
      <c r="T59" t="s">
        <v>145</v>
      </c>
      <c r="U59" t="s">
        <v>145</v>
      </c>
      <c r="AD59">
        <v>6.01</v>
      </c>
      <c r="AE59">
        <v>6.01</v>
      </c>
      <c r="AF59" t="s">
        <v>309</v>
      </c>
      <c r="AG59" t="s">
        <v>424</v>
      </c>
      <c r="AH59">
        <v>585316.98699999996</v>
      </c>
      <c r="AI59">
        <v>6916726.6519999998</v>
      </c>
      <c r="AJ59">
        <v>2310.634</v>
      </c>
      <c r="AK59">
        <v>2310.634</v>
      </c>
      <c r="AL59">
        <v>2310.634</v>
      </c>
    </row>
    <row r="60" spans="1:38" x14ac:dyDescent="0.3">
      <c r="A60" t="str">
        <f t="shared" si="0"/>
        <v>CH15-106-MW006Oxidation Reduction Potential, Field</v>
      </c>
      <c r="B60">
        <v>1650156</v>
      </c>
      <c r="C60" t="s">
        <v>416</v>
      </c>
      <c r="D60" t="s">
        <v>142</v>
      </c>
      <c r="E60" t="s">
        <v>142</v>
      </c>
      <c r="F60" s="88">
        <v>42523</v>
      </c>
      <c r="G60">
        <v>-999</v>
      </c>
      <c r="H60">
        <v>-999</v>
      </c>
      <c r="I60" t="s">
        <v>417</v>
      </c>
      <c r="J60" t="s">
        <v>418</v>
      </c>
      <c r="K60" t="s">
        <v>426</v>
      </c>
      <c r="N60">
        <v>100365176</v>
      </c>
      <c r="O60" t="s">
        <v>431</v>
      </c>
      <c r="P60" t="s">
        <v>432</v>
      </c>
      <c r="Q60">
        <v>130.6</v>
      </c>
      <c r="R60" t="s">
        <v>311</v>
      </c>
      <c r="T60" t="s">
        <v>145</v>
      </c>
      <c r="U60" t="s">
        <v>145</v>
      </c>
      <c r="AD60">
        <v>130.6</v>
      </c>
      <c r="AE60">
        <v>130.6</v>
      </c>
      <c r="AF60" t="s">
        <v>311</v>
      </c>
      <c r="AG60" t="s">
        <v>424</v>
      </c>
      <c r="AH60">
        <v>585316.98699999996</v>
      </c>
      <c r="AI60">
        <v>6916726.6519999998</v>
      </c>
      <c r="AJ60">
        <v>2310.634</v>
      </c>
      <c r="AK60">
        <v>2310.634</v>
      </c>
      <c r="AL60">
        <v>2310.634</v>
      </c>
    </row>
    <row r="61" spans="1:38" x14ac:dyDescent="0.3">
      <c r="A61" t="str">
        <f t="shared" si="0"/>
        <v>CH15-106-MW006pH, Field</v>
      </c>
      <c r="B61">
        <v>1650156</v>
      </c>
      <c r="C61" t="s">
        <v>416</v>
      </c>
      <c r="D61" t="s">
        <v>142</v>
      </c>
      <c r="E61" t="s">
        <v>142</v>
      </c>
      <c r="F61" s="88">
        <v>42523</v>
      </c>
      <c r="G61">
        <v>-999</v>
      </c>
      <c r="H61">
        <v>-999</v>
      </c>
      <c r="I61" t="s">
        <v>417</v>
      </c>
      <c r="J61" t="s">
        <v>418</v>
      </c>
      <c r="K61" t="s">
        <v>426</v>
      </c>
      <c r="N61">
        <v>100365176</v>
      </c>
      <c r="O61" t="s">
        <v>433</v>
      </c>
      <c r="P61" t="s">
        <v>326</v>
      </c>
      <c r="Q61">
        <v>6.5</v>
      </c>
      <c r="R61" t="s">
        <v>313</v>
      </c>
      <c r="T61" t="s">
        <v>145</v>
      </c>
      <c r="U61" t="s">
        <v>145</v>
      </c>
      <c r="AD61">
        <v>6.5</v>
      </c>
      <c r="AE61">
        <v>6.5</v>
      </c>
      <c r="AF61" t="s">
        <v>313</v>
      </c>
      <c r="AG61" t="s">
        <v>424</v>
      </c>
      <c r="AH61">
        <v>585316.98699999996</v>
      </c>
      <c r="AI61">
        <v>6916726.6519999998</v>
      </c>
      <c r="AJ61">
        <v>2310.634</v>
      </c>
      <c r="AK61">
        <v>2310.634</v>
      </c>
      <c r="AL61">
        <v>2310.634</v>
      </c>
    </row>
    <row r="62" spans="1:38" x14ac:dyDescent="0.3">
      <c r="A62" t="str">
        <f t="shared" si="0"/>
        <v>CH15-106-MW006Temperature, Field</v>
      </c>
      <c r="B62">
        <v>1650156</v>
      </c>
      <c r="C62" t="s">
        <v>416</v>
      </c>
      <c r="D62" t="s">
        <v>142</v>
      </c>
      <c r="E62" t="s">
        <v>142</v>
      </c>
      <c r="F62" s="88">
        <v>42523</v>
      </c>
      <c r="G62">
        <v>-999</v>
      </c>
      <c r="H62">
        <v>-999</v>
      </c>
      <c r="I62" t="s">
        <v>417</v>
      </c>
      <c r="J62" t="s">
        <v>418</v>
      </c>
      <c r="K62" t="s">
        <v>426</v>
      </c>
      <c r="N62">
        <v>100365176</v>
      </c>
      <c r="O62" t="s">
        <v>434</v>
      </c>
      <c r="P62" t="s">
        <v>328</v>
      </c>
      <c r="Q62">
        <v>2.96</v>
      </c>
      <c r="R62" t="s">
        <v>315</v>
      </c>
      <c r="T62" t="s">
        <v>145</v>
      </c>
      <c r="U62" t="s">
        <v>145</v>
      </c>
      <c r="AD62">
        <v>2.96</v>
      </c>
      <c r="AE62">
        <v>2.96</v>
      </c>
      <c r="AF62" t="s">
        <v>315</v>
      </c>
      <c r="AG62" t="s">
        <v>424</v>
      </c>
      <c r="AH62">
        <v>585316.98699999996</v>
      </c>
      <c r="AI62">
        <v>6916726.6519999998</v>
      </c>
      <c r="AJ62">
        <v>2310.634</v>
      </c>
      <c r="AK62">
        <v>2310.634</v>
      </c>
      <c r="AL62">
        <v>2310.634</v>
      </c>
    </row>
    <row r="63" spans="1:38" x14ac:dyDescent="0.3">
      <c r="A63" t="str">
        <f t="shared" si="0"/>
        <v>CH15-106-MW006Turbidity, Field</v>
      </c>
      <c r="B63">
        <v>1650156</v>
      </c>
      <c r="C63" t="s">
        <v>416</v>
      </c>
      <c r="D63" t="s">
        <v>142</v>
      </c>
      <c r="E63" t="s">
        <v>142</v>
      </c>
      <c r="F63" s="88">
        <v>42523</v>
      </c>
      <c r="G63">
        <v>-999</v>
      </c>
      <c r="H63">
        <v>-999</v>
      </c>
      <c r="I63" t="s">
        <v>417</v>
      </c>
      <c r="J63" t="s">
        <v>418</v>
      </c>
      <c r="K63" t="s">
        <v>426</v>
      </c>
      <c r="N63">
        <v>100365176</v>
      </c>
      <c r="O63" t="s">
        <v>435</v>
      </c>
      <c r="P63" t="s">
        <v>436</v>
      </c>
      <c r="Q63">
        <v>130</v>
      </c>
      <c r="R63" t="s">
        <v>317</v>
      </c>
      <c r="T63" t="s">
        <v>145</v>
      </c>
      <c r="U63" t="s">
        <v>145</v>
      </c>
      <c r="AD63">
        <v>130</v>
      </c>
      <c r="AE63">
        <v>130</v>
      </c>
      <c r="AF63" t="s">
        <v>317</v>
      </c>
      <c r="AG63" t="s">
        <v>424</v>
      </c>
      <c r="AH63">
        <v>585316.98699999996</v>
      </c>
      <c r="AI63">
        <v>6916726.6519999998</v>
      </c>
      <c r="AJ63">
        <v>2310.634</v>
      </c>
      <c r="AK63">
        <v>2310.634</v>
      </c>
      <c r="AL63">
        <v>2310.634</v>
      </c>
    </row>
    <row r="64" spans="1:38" x14ac:dyDescent="0.3">
      <c r="A64" t="str">
        <f t="shared" si="0"/>
        <v>CH15-106-MW006Potassium, dissolved</v>
      </c>
      <c r="B64">
        <v>1650156</v>
      </c>
      <c r="C64" t="s">
        <v>416</v>
      </c>
      <c r="D64" t="s">
        <v>142</v>
      </c>
      <c r="E64" t="s">
        <v>142</v>
      </c>
      <c r="F64" s="88">
        <v>42523</v>
      </c>
      <c r="G64">
        <v>2.93</v>
      </c>
      <c r="H64">
        <v>5.97</v>
      </c>
      <c r="I64" t="s">
        <v>417</v>
      </c>
      <c r="J64" t="s">
        <v>418</v>
      </c>
      <c r="K64" t="s">
        <v>419</v>
      </c>
      <c r="L64" t="s">
        <v>437</v>
      </c>
      <c r="M64" t="s">
        <v>421</v>
      </c>
      <c r="N64">
        <v>100394553</v>
      </c>
      <c r="O64" t="s">
        <v>519</v>
      </c>
      <c r="P64" t="s">
        <v>520</v>
      </c>
      <c r="Q64">
        <v>0.69</v>
      </c>
      <c r="R64" t="s">
        <v>309</v>
      </c>
      <c r="S64">
        <v>0.05</v>
      </c>
      <c r="T64" t="s">
        <v>145</v>
      </c>
      <c r="U64" t="s">
        <v>145</v>
      </c>
      <c r="X64" t="s">
        <v>237</v>
      </c>
      <c r="Z64">
        <v>0.05</v>
      </c>
      <c r="AA64">
        <v>0.05</v>
      </c>
      <c r="AB64" t="s">
        <v>309</v>
      </c>
      <c r="AD64">
        <v>0.69</v>
      </c>
      <c r="AE64">
        <v>0.69</v>
      </c>
      <c r="AF64" t="s">
        <v>309</v>
      </c>
      <c r="AG64" t="s">
        <v>424</v>
      </c>
      <c r="AH64">
        <v>585316.98699999996</v>
      </c>
      <c r="AI64">
        <v>6916726.6519999998</v>
      </c>
      <c r="AJ64">
        <v>1307.184</v>
      </c>
      <c r="AK64">
        <v>1308.704</v>
      </c>
      <c r="AL64">
        <v>1305.664</v>
      </c>
    </row>
    <row r="65" spans="1:38" x14ac:dyDescent="0.3">
      <c r="A65" t="str">
        <f t="shared" si="0"/>
        <v>CH15-106-MW006Arsenic (As)-Dissolved</v>
      </c>
      <c r="B65">
        <v>1650156</v>
      </c>
      <c r="C65" t="s">
        <v>416</v>
      </c>
      <c r="D65" t="s">
        <v>142</v>
      </c>
      <c r="E65" t="s">
        <v>142</v>
      </c>
      <c r="F65" s="88">
        <v>42523</v>
      </c>
      <c r="G65">
        <v>2.93</v>
      </c>
      <c r="H65">
        <v>5.97</v>
      </c>
      <c r="I65" t="s">
        <v>417</v>
      </c>
      <c r="J65" t="s">
        <v>418</v>
      </c>
      <c r="K65" t="s">
        <v>419</v>
      </c>
      <c r="L65" t="s">
        <v>437</v>
      </c>
      <c r="M65" t="s">
        <v>421</v>
      </c>
      <c r="N65">
        <v>100394553</v>
      </c>
      <c r="O65" t="s">
        <v>521</v>
      </c>
      <c r="P65" t="s">
        <v>522</v>
      </c>
      <c r="Q65">
        <v>2.4000000000000001E-4</v>
      </c>
      <c r="R65" t="s">
        <v>309</v>
      </c>
      <c r="S65">
        <v>1E-4</v>
      </c>
      <c r="T65" t="s">
        <v>145</v>
      </c>
      <c r="U65" t="s">
        <v>145</v>
      </c>
      <c r="X65" t="s">
        <v>237</v>
      </c>
      <c r="Z65">
        <v>1E-4</v>
      </c>
      <c r="AA65">
        <v>1E-4</v>
      </c>
      <c r="AB65" t="s">
        <v>309</v>
      </c>
      <c r="AD65">
        <v>2.4000000000000001E-4</v>
      </c>
      <c r="AE65">
        <v>2.4000000000000001E-4</v>
      </c>
      <c r="AF65" t="s">
        <v>309</v>
      </c>
      <c r="AG65" t="s">
        <v>424</v>
      </c>
      <c r="AH65">
        <v>585316.98699999996</v>
      </c>
      <c r="AI65">
        <v>6916726.6519999998</v>
      </c>
      <c r="AJ65">
        <v>1307.184</v>
      </c>
      <c r="AK65">
        <v>1308.704</v>
      </c>
      <c r="AL65">
        <v>1305.664</v>
      </c>
    </row>
    <row r="66" spans="1:38" x14ac:dyDescent="0.3">
      <c r="A66" t="str">
        <f t="shared" si="0"/>
        <v>CH15-106-MW006Copper (Cu)-Dissolved</v>
      </c>
      <c r="B66">
        <v>1650156</v>
      </c>
      <c r="C66" t="s">
        <v>416</v>
      </c>
      <c r="D66" t="s">
        <v>142</v>
      </c>
      <c r="E66" t="s">
        <v>142</v>
      </c>
      <c r="F66" s="88">
        <v>42523</v>
      </c>
      <c r="G66">
        <v>2.93</v>
      </c>
      <c r="H66">
        <v>5.97</v>
      </c>
      <c r="I66" t="s">
        <v>417</v>
      </c>
      <c r="J66" t="s">
        <v>418</v>
      </c>
      <c r="K66" t="s">
        <v>419</v>
      </c>
      <c r="L66" t="s">
        <v>437</v>
      </c>
      <c r="M66" t="s">
        <v>421</v>
      </c>
      <c r="N66">
        <v>100394552</v>
      </c>
      <c r="O66" t="s">
        <v>507</v>
      </c>
      <c r="P66" t="s">
        <v>508</v>
      </c>
      <c r="Q66">
        <v>4.0999999999999999E-4</v>
      </c>
      <c r="R66" t="s">
        <v>309</v>
      </c>
      <c r="S66">
        <v>2.0000000000000001E-4</v>
      </c>
      <c r="T66" t="s">
        <v>145</v>
      </c>
      <c r="U66" t="s">
        <v>145</v>
      </c>
      <c r="X66" t="s">
        <v>237</v>
      </c>
      <c r="Z66">
        <v>2.0000000000000001E-4</v>
      </c>
      <c r="AA66">
        <v>2.0000000000000001E-4</v>
      </c>
      <c r="AB66" t="s">
        <v>309</v>
      </c>
      <c r="AD66">
        <v>4.0999999999999999E-4</v>
      </c>
      <c r="AE66">
        <v>4.0999999999999999E-4</v>
      </c>
      <c r="AF66" t="s">
        <v>309</v>
      </c>
      <c r="AG66" t="s">
        <v>424</v>
      </c>
      <c r="AH66">
        <v>585316.98699999996</v>
      </c>
      <c r="AI66">
        <v>6916726.6519999998</v>
      </c>
      <c r="AJ66">
        <v>1307.184</v>
      </c>
      <c r="AK66">
        <v>1308.704</v>
      </c>
      <c r="AL66">
        <v>1305.664</v>
      </c>
    </row>
    <row r="67" spans="1:38" x14ac:dyDescent="0.3">
      <c r="A67" t="str">
        <f t="shared" ref="A67:A130" si="1">E67&amp;P67</f>
        <v>CH15-106-MW006Uranium (U)-Dissolved</v>
      </c>
      <c r="B67">
        <v>1650156</v>
      </c>
      <c r="C67" t="s">
        <v>416</v>
      </c>
      <c r="D67" t="s">
        <v>142</v>
      </c>
      <c r="E67" t="s">
        <v>142</v>
      </c>
      <c r="F67" s="88">
        <v>42523</v>
      </c>
      <c r="G67">
        <v>2.93</v>
      </c>
      <c r="H67">
        <v>5.97</v>
      </c>
      <c r="I67" t="s">
        <v>417</v>
      </c>
      <c r="J67" t="s">
        <v>418</v>
      </c>
      <c r="K67" t="s">
        <v>419</v>
      </c>
      <c r="L67" t="s">
        <v>437</v>
      </c>
      <c r="M67" t="s">
        <v>421</v>
      </c>
      <c r="N67">
        <v>100394552</v>
      </c>
      <c r="O67" t="s">
        <v>509</v>
      </c>
      <c r="P67" t="s">
        <v>510</v>
      </c>
      <c r="Q67">
        <v>1.3300000000000001E-4</v>
      </c>
      <c r="R67" t="s">
        <v>309</v>
      </c>
      <c r="S67">
        <v>1.0000000000000001E-5</v>
      </c>
      <c r="T67" t="s">
        <v>145</v>
      </c>
      <c r="U67" t="s">
        <v>145</v>
      </c>
      <c r="X67" t="s">
        <v>237</v>
      </c>
      <c r="Z67">
        <v>1.0000000000000001E-5</v>
      </c>
      <c r="AA67">
        <v>1.0000000000000001E-5</v>
      </c>
      <c r="AB67" t="s">
        <v>309</v>
      </c>
      <c r="AD67">
        <v>1.3300000000000001E-4</v>
      </c>
      <c r="AE67">
        <v>1.3300000000000001E-4</v>
      </c>
      <c r="AF67" t="s">
        <v>309</v>
      </c>
      <c r="AG67" t="s">
        <v>424</v>
      </c>
      <c r="AH67">
        <v>585316.98699999996</v>
      </c>
      <c r="AI67">
        <v>6916726.6519999998</v>
      </c>
      <c r="AJ67">
        <v>1307.184</v>
      </c>
      <c r="AK67">
        <v>1308.704</v>
      </c>
      <c r="AL67">
        <v>1305.664</v>
      </c>
    </row>
    <row r="68" spans="1:38" x14ac:dyDescent="0.3">
      <c r="A68" t="str">
        <f t="shared" si="1"/>
        <v>CH15-106-MW006Vanadium (V)-Dissolved</v>
      </c>
      <c r="B68">
        <v>1650156</v>
      </c>
      <c r="C68" t="s">
        <v>416</v>
      </c>
      <c r="D68" t="s">
        <v>142</v>
      </c>
      <c r="E68" t="s">
        <v>142</v>
      </c>
      <c r="F68" s="88">
        <v>42523</v>
      </c>
      <c r="G68">
        <v>2.93</v>
      </c>
      <c r="H68">
        <v>5.97</v>
      </c>
      <c r="I68" t="s">
        <v>417</v>
      </c>
      <c r="J68" t="s">
        <v>418</v>
      </c>
      <c r="K68" t="s">
        <v>419</v>
      </c>
      <c r="L68" t="s">
        <v>437</v>
      </c>
      <c r="M68" t="s">
        <v>421</v>
      </c>
      <c r="N68">
        <v>100394552</v>
      </c>
      <c r="O68" t="s">
        <v>511</v>
      </c>
      <c r="P68" t="s">
        <v>512</v>
      </c>
      <c r="Q68">
        <v>5.0000000000000001E-4</v>
      </c>
      <c r="R68" t="s">
        <v>309</v>
      </c>
      <c r="S68">
        <v>5.0000000000000001E-4</v>
      </c>
      <c r="T68" t="s">
        <v>145</v>
      </c>
      <c r="U68" t="s">
        <v>426</v>
      </c>
      <c r="V68" t="s">
        <v>62</v>
      </c>
      <c r="W68" t="s">
        <v>62</v>
      </c>
      <c r="X68" t="s">
        <v>62</v>
      </c>
      <c r="Z68">
        <v>5.0000000000000001E-4</v>
      </c>
      <c r="AA68">
        <v>5.0000000000000001E-4</v>
      </c>
      <c r="AB68" t="s">
        <v>309</v>
      </c>
      <c r="AD68">
        <v>5.0000000000000001E-4</v>
      </c>
      <c r="AE68">
        <v>5.0000000000000001E-4</v>
      </c>
      <c r="AF68" t="s">
        <v>309</v>
      </c>
      <c r="AG68" t="s">
        <v>424</v>
      </c>
      <c r="AH68">
        <v>585316.98699999996</v>
      </c>
      <c r="AI68">
        <v>6916726.6519999998</v>
      </c>
      <c r="AJ68">
        <v>1307.184</v>
      </c>
      <c r="AK68">
        <v>1308.704</v>
      </c>
      <c r="AL68">
        <v>1305.664</v>
      </c>
    </row>
    <row r="69" spans="1:38" x14ac:dyDescent="0.3">
      <c r="A69" t="str">
        <f t="shared" si="1"/>
        <v>CH15-106-MW006Zinc (Zn)-Dissolved</v>
      </c>
      <c r="B69">
        <v>1650156</v>
      </c>
      <c r="C69" t="s">
        <v>416</v>
      </c>
      <c r="D69" t="s">
        <v>142</v>
      </c>
      <c r="E69" t="s">
        <v>142</v>
      </c>
      <c r="F69" s="88">
        <v>42523</v>
      </c>
      <c r="G69">
        <v>2.93</v>
      </c>
      <c r="H69">
        <v>5.97</v>
      </c>
      <c r="I69" t="s">
        <v>417</v>
      </c>
      <c r="J69" t="s">
        <v>418</v>
      </c>
      <c r="K69" t="s">
        <v>419</v>
      </c>
      <c r="L69" t="s">
        <v>437</v>
      </c>
      <c r="M69" t="s">
        <v>421</v>
      </c>
      <c r="N69">
        <v>100394552</v>
      </c>
      <c r="O69" t="s">
        <v>513</v>
      </c>
      <c r="P69" t="s">
        <v>514</v>
      </c>
      <c r="Q69">
        <v>1.4E-2</v>
      </c>
      <c r="R69" t="s">
        <v>309</v>
      </c>
      <c r="S69">
        <v>1E-3</v>
      </c>
      <c r="T69" t="s">
        <v>145</v>
      </c>
      <c r="U69" t="s">
        <v>145</v>
      </c>
      <c r="X69" t="s">
        <v>237</v>
      </c>
      <c r="Z69">
        <v>1E-3</v>
      </c>
      <c r="AA69">
        <v>1E-3</v>
      </c>
      <c r="AB69" t="s">
        <v>309</v>
      </c>
      <c r="AD69">
        <v>1.4E-2</v>
      </c>
      <c r="AE69">
        <v>1.4E-2</v>
      </c>
      <c r="AF69" t="s">
        <v>309</v>
      </c>
      <c r="AG69" t="s">
        <v>424</v>
      </c>
      <c r="AH69">
        <v>585316.98699999996</v>
      </c>
      <c r="AI69">
        <v>6916726.6519999998</v>
      </c>
      <c r="AJ69">
        <v>1307.184</v>
      </c>
      <c r="AK69">
        <v>1308.704</v>
      </c>
      <c r="AL69">
        <v>1305.664</v>
      </c>
    </row>
    <row r="70" spans="1:38" x14ac:dyDescent="0.3">
      <c r="A70" t="str">
        <f t="shared" si="1"/>
        <v>CH15-106-MW006Selenium (Se)-Dissolved</v>
      </c>
      <c r="B70">
        <v>1650156</v>
      </c>
      <c r="C70" t="s">
        <v>416</v>
      </c>
      <c r="D70" t="s">
        <v>142</v>
      </c>
      <c r="E70" t="s">
        <v>142</v>
      </c>
      <c r="F70" s="88">
        <v>42523</v>
      </c>
      <c r="G70">
        <v>2.93</v>
      </c>
      <c r="H70">
        <v>5.97</v>
      </c>
      <c r="I70" t="s">
        <v>417</v>
      </c>
      <c r="J70" t="s">
        <v>418</v>
      </c>
      <c r="K70" t="s">
        <v>419</v>
      </c>
      <c r="L70" t="s">
        <v>437</v>
      </c>
      <c r="M70" t="s">
        <v>421</v>
      </c>
      <c r="N70">
        <v>100394552</v>
      </c>
      <c r="O70" t="s">
        <v>515</v>
      </c>
      <c r="P70" t="s">
        <v>516</v>
      </c>
      <c r="Q70" s="87">
        <v>8.7000000000000001E-5</v>
      </c>
      <c r="R70" t="s">
        <v>309</v>
      </c>
      <c r="S70">
        <v>5.0000000000000002E-5</v>
      </c>
      <c r="T70" t="s">
        <v>145</v>
      </c>
      <c r="U70" t="s">
        <v>145</v>
      </c>
      <c r="X70" t="s">
        <v>237</v>
      </c>
      <c r="Z70">
        <v>5.0000000000000002E-5</v>
      </c>
      <c r="AA70">
        <v>5.0000000000000002E-5</v>
      </c>
      <c r="AB70" t="s">
        <v>309</v>
      </c>
      <c r="AD70">
        <v>8.7000000000000001E-5</v>
      </c>
      <c r="AE70">
        <v>8.7000000000000001E-5</v>
      </c>
      <c r="AF70" t="s">
        <v>309</v>
      </c>
      <c r="AG70" t="s">
        <v>424</v>
      </c>
      <c r="AH70">
        <v>585316.98699999996</v>
      </c>
      <c r="AI70">
        <v>6916726.6519999998</v>
      </c>
      <c r="AJ70">
        <v>1307.184</v>
      </c>
      <c r="AK70">
        <v>1308.704</v>
      </c>
      <c r="AL70">
        <v>1305.664</v>
      </c>
    </row>
    <row r="71" spans="1:38" x14ac:dyDescent="0.3">
      <c r="A71" t="str">
        <f t="shared" si="1"/>
        <v>CH15-106-MW006Lithium, dissolved</v>
      </c>
      <c r="B71">
        <v>1650156</v>
      </c>
      <c r="C71" t="s">
        <v>416</v>
      </c>
      <c r="D71" t="s">
        <v>142</v>
      </c>
      <c r="E71" t="s">
        <v>142</v>
      </c>
      <c r="F71" s="88">
        <v>42523</v>
      </c>
      <c r="G71">
        <v>2.93</v>
      </c>
      <c r="H71">
        <v>5.97</v>
      </c>
      <c r="I71" t="s">
        <v>417</v>
      </c>
      <c r="J71" t="s">
        <v>418</v>
      </c>
      <c r="K71" t="s">
        <v>419</v>
      </c>
      <c r="L71" t="s">
        <v>437</v>
      </c>
      <c r="M71" t="s">
        <v>421</v>
      </c>
      <c r="N71">
        <v>100394553</v>
      </c>
      <c r="O71" t="s">
        <v>517</v>
      </c>
      <c r="P71" t="s">
        <v>518</v>
      </c>
      <c r="Q71">
        <v>4.7000000000000002E-3</v>
      </c>
      <c r="R71" t="s">
        <v>309</v>
      </c>
      <c r="S71">
        <v>1E-3</v>
      </c>
      <c r="T71" t="s">
        <v>145</v>
      </c>
      <c r="U71" t="s">
        <v>145</v>
      </c>
      <c r="X71" t="s">
        <v>237</v>
      </c>
      <c r="Z71">
        <v>1E-3</v>
      </c>
      <c r="AA71">
        <v>1E-3</v>
      </c>
      <c r="AB71" t="s">
        <v>309</v>
      </c>
      <c r="AD71">
        <v>4.7000000000000002E-3</v>
      </c>
      <c r="AE71">
        <v>4.7000000000000002E-3</v>
      </c>
      <c r="AF71" t="s">
        <v>309</v>
      </c>
      <c r="AG71" t="s">
        <v>424</v>
      </c>
      <c r="AH71">
        <v>585316.98699999996</v>
      </c>
      <c r="AI71">
        <v>6916726.6519999998</v>
      </c>
      <c r="AJ71">
        <v>1307.184</v>
      </c>
      <c r="AK71">
        <v>1308.704</v>
      </c>
      <c r="AL71">
        <v>1305.664</v>
      </c>
    </row>
    <row r="72" spans="1:38" x14ac:dyDescent="0.3">
      <c r="A72" t="str">
        <f t="shared" si="1"/>
        <v>CH15-106-MW006Barium (Ba)-Dissolved</v>
      </c>
      <c r="B72">
        <v>1650156</v>
      </c>
      <c r="C72" t="s">
        <v>416</v>
      </c>
      <c r="D72" t="s">
        <v>142</v>
      </c>
      <c r="E72" t="s">
        <v>142</v>
      </c>
      <c r="F72" s="88">
        <v>42523</v>
      </c>
      <c r="G72">
        <v>2.93</v>
      </c>
      <c r="H72">
        <v>5.97</v>
      </c>
      <c r="I72" t="s">
        <v>417</v>
      </c>
      <c r="J72" t="s">
        <v>418</v>
      </c>
      <c r="K72" t="s">
        <v>419</v>
      </c>
      <c r="L72" t="s">
        <v>437</v>
      </c>
      <c r="M72" t="s">
        <v>421</v>
      </c>
      <c r="N72">
        <v>100394552</v>
      </c>
      <c r="O72" t="s">
        <v>495</v>
      </c>
      <c r="P72" t="s">
        <v>496</v>
      </c>
      <c r="Q72">
        <v>7.17E-2</v>
      </c>
      <c r="R72" t="s">
        <v>309</v>
      </c>
      <c r="S72">
        <v>5.0000000000000002E-5</v>
      </c>
      <c r="T72" t="s">
        <v>145</v>
      </c>
      <c r="U72" t="s">
        <v>145</v>
      </c>
      <c r="X72" t="s">
        <v>237</v>
      </c>
      <c r="Z72">
        <v>5.0000000000000002E-5</v>
      </c>
      <c r="AA72">
        <v>5.0000000000000002E-5</v>
      </c>
      <c r="AB72" t="s">
        <v>309</v>
      </c>
      <c r="AD72">
        <v>7.17E-2</v>
      </c>
      <c r="AE72">
        <v>7.17E-2</v>
      </c>
      <c r="AF72" t="s">
        <v>309</v>
      </c>
      <c r="AG72" t="s">
        <v>424</v>
      </c>
      <c r="AH72">
        <v>585316.98699999996</v>
      </c>
      <c r="AI72">
        <v>6916726.6519999998</v>
      </c>
      <c r="AJ72">
        <v>1307.184</v>
      </c>
      <c r="AK72">
        <v>1308.704</v>
      </c>
      <c r="AL72">
        <v>1305.664</v>
      </c>
    </row>
    <row r="73" spans="1:38" x14ac:dyDescent="0.3">
      <c r="A73" t="str">
        <f t="shared" si="1"/>
        <v>CH15-106-MW006Beryllium (Be)-Dissolved</v>
      </c>
      <c r="B73">
        <v>1650156</v>
      </c>
      <c r="C73" t="s">
        <v>416</v>
      </c>
      <c r="D73" t="s">
        <v>142</v>
      </c>
      <c r="E73" t="s">
        <v>142</v>
      </c>
      <c r="F73" s="88">
        <v>42523</v>
      </c>
      <c r="G73">
        <v>2.93</v>
      </c>
      <c r="H73">
        <v>5.97</v>
      </c>
      <c r="I73" t="s">
        <v>417</v>
      </c>
      <c r="J73" t="s">
        <v>418</v>
      </c>
      <c r="K73" t="s">
        <v>419</v>
      </c>
      <c r="L73" t="s">
        <v>437</v>
      </c>
      <c r="M73" t="s">
        <v>421</v>
      </c>
      <c r="N73">
        <v>100394552</v>
      </c>
      <c r="O73" t="s">
        <v>497</v>
      </c>
      <c r="P73" t="s">
        <v>498</v>
      </c>
      <c r="Q73">
        <v>1E-4</v>
      </c>
      <c r="R73" t="s">
        <v>309</v>
      </c>
      <c r="S73">
        <v>1E-4</v>
      </c>
      <c r="T73" t="s">
        <v>145</v>
      </c>
      <c r="U73" t="s">
        <v>426</v>
      </c>
      <c r="V73" t="s">
        <v>62</v>
      </c>
      <c r="W73" t="s">
        <v>62</v>
      </c>
      <c r="X73" t="s">
        <v>62</v>
      </c>
      <c r="Z73">
        <v>1E-4</v>
      </c>
      <c r="AA73">
        <v>1E-4</v>
      </c>
      <c r="AB73" t="s">
        <v>309</v>
      </c>
      <c r="AD73">
        <v>1E-4</v>
      </c>
      <c r="AE73">
        <v>1E-4</v>
      </c>
      <c r="AF73" t="s">
        <v>309</v>
      </c>
      <c r="AG73" t="s">
        <v>424</v>
      </c>
      <c r="AH73">
        <v>585316.98699999996</v>
      </c>
      <c r="AI73">
        <v>6916726.6519999998</v>
      </c>
      <c r="AJ73">
        <v>1307.184</v>
      </c>
      <c r="AK73">
        <v>1308.704</v>
      </c>
      <c r="AL73">
        <v>1305.664</v>
      </c>
    </row>
    <row r="74" spans="1:38" x14ac:dyDescent="0.3">
      <c r="A74" t="str">
        <f t="shared" si="1"/>
        <v>CH15-106-MW006Boron (B)-Dissolved</v>
      </c>
      <c r="B74">
        <v>1650156</v>
      </c>
      <c r="C74" t="s">
        <v>416</v>
      </c>
      <c r="D74" t="s">
        <v>142</v>
      </c>
      <c r="E74" t="s">
        <v>142</v>
      </c>
      <c r="F74" s="88">
        <v>42523</v>
      </c>
      <c r="G74">
        <v>2.93</v>
      </c>
      <c r="H74">
        <v>5.97</v>
      </c>
      <c r="I74" t="s">
        <v>417</v>
      </c>
      <c r="J74" t="s">
        <v>418</v>
      </c>
      <c r="K74" t="s">
        <v>419</v>
      </c>
      <c r="L74" t="s">
        <v>437</v>
      </c>
      <c r="M74" t="s">
        <v>421</v>
      </c>
      <c r="N74">
        <v>100394552</v>
      </c>
      <c r="O74" t="s">
        <v>499</v>
      </c>
      <c r="P74" t="s">
        <v>500</v>
      </c>
      <c r="Q74">
        <v>0.01</v>
      </c>
      <c r="R74" t="s">
        <v>309</v>
      </c>
      <c r="S74">
        <v>0.01</v>
      </c>
      <c r="T74" t="s">
        <v>145</v>
      </c>
      <c r="U74" t="s">
        <v>426</v>
      </c>
      <c r="V74" t="s">
        <v>62</v>
      </c>
      <c r="W74" t="s">
        <v>62</v>
      </c>
      <c r="X74" t="s">
        <v>62</v>
      </c>
      <c r="Z74">
        <v>0.01</v>
      </c>
      <c r="AA74">
        <v>0.01</v>
      </c>
      <c r="AB74" t="s">
        <v>309</v>
      </c>
      <c r="AD74">
        <v>0.01</v>
      </c>
      <c r="AE74">
        <v>0.01</v>
      </c>
      <c r="AF74" t="s">
        <v>309</v>
      </c>
      <c r="AG74" t="s">
        <v>424</v>
      </c>
      <c r="AH74">
        <v>585316.98699999996</v>
      </c>
      <c r="AI74">
        <v>6916726.6519999998</v>
      </c>
      <c r="AJ74">
        <v>1307.184</v>
      </c>
      <c r="AK74">
        <v>1308.704</v>
      </c>
      <c r="AL74">
        <v>1305.664</v>
      </c>
    </row>
    <row r="75" spans="1:38" x14ac:dyDescent="0.3">
      <c r="A75" t="str">
        <f t="shared" si="1"/>
        <v>CH15-106-MW006Cadmium (Cd)-Dissolved</v>
      </c>
      <c r="B75">
        <v>1650156</v>
      </c>
      <c r="C75" t="s">
        <v>416</v>
      </c>
      <c r="D75" t="s">
        <v>142</v>
      </c>
      <c r="E75" t="s">
        <v>142</v>
      </c>
      <c r="F75" s="88">
        <v>42523</v>
      </c>
      <c r="G75">
        <v>2.93</v>
      </c>
      <c r="H75">
        <v>5.97</v>
      </c>
      <c r="I75" t="s">
        <v>417</v>
      </c>
      <c r="J75" t="s">
        <v>418</v>
      </c>
      <c r="K75" t="s">
        <v>419</v>
      </c>
      <c r="L75" t="s">
        <v>437</v>
      </c>
      <c r="M75" t="s">
        <v>421</v>
      </c>
      <c r="N75">
        <v>100394552</v>
      </c>
      <c r="O75" t="s">
        <v>501</v>
      </c>
      <c r="P75" t="s">
        <v>502</v>
      </c>
      <c r="Q75">
        <v>1.06E-4</v>
      </c>
      <c r="R75" t="s">
        <v>309</v>
      </c>
      <c r="S75">
        <v>5.0000000000000004E-6</v>
      </c>
      <c r="T75" t="s">
        <v>145</v>
      </c>
      <c r="U75" t="s">
        <v>145</v>
      </c>
      <c r="X75" t="s">
        <v>237</v>
      </c>
      <c r="Z75">
        <v>5.0000000000000004E-6</v>
      </c>
      <c r="AA75">
        <v>5.0000000000000004E-6</v>
      </c>
      <c r="AB75" t="s">
        <v>309</v>
      </c>
      <c r="AD75">
        <v>1.06E-4</v>
      </c>
      <c r="AE75">
        <v>1.06E-4</v>
      </c>
      <c r="AF75" t="s">
        <v>309</v>
      </c>
      <c r="AG75" t="s">
        <v>424</v>
      </c>
      <c r="AH75">
        <v>585316.98699999996</v>
      </c>
      <c r="AI75">
        <v>6916726.6519999998</v>
      </c>
      <c r="AJ75">
        <v>1307.184</v>
      </c>
      <c r="AK75">
        <v>1308.704</v>
      </c>
      <c r="AL75">
        <v>1305.664</v>
      </c>
    </row>
    <row r="76" spans="1:38" x14ac:dyDescent="0.3">
      <c r="A76" t="str">
        <f t="shared" si="1"/>
        <v>CH15-106-MW006Chromium (Cr)-Dissolved</v>
      </c>
      <c r="B76">
        <v>1650156</v>
      </c>
      <c r="C76" t="s">
        <v>416</v>
      </c>
      <c r="D76" t="s">
        <v>142</v>
      </c>
      <c r="E76" t="s">
        <v>142</v>
      </c>
      <c r="F76" s="88">
        <v>42523</v>
      </c>
      <c r="G76">
        <v>2.93</v>
      </c>
      <c r="H76">
        <v>5.97</v>
      </c>
      <c r="I76" t="s">
        <v>417</v>
      </c>
      <c r="J76" t="s">
        <v>418</v>
      </c>
      <c r="K76" t="s">
        <v>419</v>
      </c>
      <c r="L76" t="s">
        <v>437</v>
      </c>
      <c r="M76" t="s">
        <v>421</v>
      </c>
      <c r="N76">
        <v>100394552</v>
      </c>
      <c r="O76" t="s">
        <v>503</v>
      </c>
      <c r="P76" t="s">
        <v>504</v>
      </c>
      <c r="Q76">
        <v>1.9000000000000001E-4</v>
      </c>
      <c r="R76" t="s">
        <v>309</v>
      </c>
      <c r="S76">
        <v>1E-4</v>
      </c>
      <c r="T76" t="s">
        <v>145</v>
      </c>
      <c r="U76" t="s">
        <v>145</v>
      </c>
      <c r="X76" t="s">
        <v>237</v>
      </c>
      <c r="Z76">
        <v>1E-4</v>
      </c>
      <c r="AA76">
        <v>1E-4</v>
      </c>
      <c r="AB76" t="s">
        <v>309</v>
      </c>
      <c r="AD76">
        <v>1.9000000000000001E-4</v>
      </c>
      <c r="AE76">
        <v>1.9000000000000001E-4</v>
      </c>
      <c r="AF76" t="s">
        <v>309</v>
      </c>
      <c r="AG76" t="s">
        <v>424</v>
      </c>
      <c r="AH76">
        <v>585316.98699999996</v>
      </c>
      <c r="AI76">
        <v>6916726.6519999998</v>
      </c>
      <c r="AJ76">
        <v>1307.184</v>
      </c>
      <c r="AK76">
        <v>1308.704</v>
      </c>
      <c r="AL76">
        <v>1305.664</v>
      </c>
    </row>
    <row r="77" spans="1:38" x14ac:dyDescent="0.3">
      <c r="A77" t="str">
        <f t="shared" si="1"/>
        <v>CH15-106-MW006Cobalt (Co)-Dissolved</v>
      </c>
      <c r="B77">
        <v>1650156</v>
      </c>
      <c r="C77" t="s">
        <v>416</v>
      </c>
      <c r="D77" t="s">
        <v>142</v>
      </c>
      <c r="E77" t="s">
        <v>142</v>
      </c>
      <c r="F77" s="88">
        <v>42523</v>
      </c>
      <c r="G77">
        <v>2.93</v>
      </c>
      <c r="H77">
        <v>5.97</v>
      </c>
      <c r="I77" t="s">
        <v>417</v>
      </c>
      <c r="J77" t="s">
        <v>418</v>
      </c>
      <c r="K77" t="s">
        <v>419</v>
      </c>
      <c r="L77" t="s">
        <v>437</v>
      </c>
      <c r="M77" t="s">
        <v>421</v>
      </c>
      <c r="N77">
        <v>100394552</v>
      </c>
      <c r="O77" t="s">
        <v>505</v>
      </c>
      <c r="P77" t="s">
        <v>506</v>
      </c>
      <c r="Q77">
        <v>6.6E-4</v>
      </c>
      <c r="R77" t="s">
        <v>309</v>
      </c>
      <c r="S77">
        <v>1E-4</v>
      </c>
      <c r="T77" t="s">
        <v>145</v>
      </c>
      <c r="U77" t="s">
        <v>145</v>
      </c>
      <c r="X77" t="s">
        <v>237</v>
      </c>
      <c r="Z77">
        <v>1E-4</v>
      </c>
      <c r="AA77">
        <v>1E-4</v>
      </c>
      <c r="AB77" t="s">
        <v>309</v>
      </c>
      <c r="AD77">
        <v>6.6E-4</v>
      </c>
      <c r="AE77">
        <v>6.6E-4</v>
      </c>
      <c r="AF77" t="s">
        <v>309</v>
      </c>
      <c r="AG77" t="s">
        <v>424</v>
      </c>
      <c r="AH77">
        <v>585316.98699999996</v>
      </c>
      <c r="AI77">
        <v>6916726.6519999998</v>
      </c>
      <c r="AJ77">
        <v>1307.184</v>
      </c>
      <c r="AK77">
        <v>1308.704</v>
      </c>
      <c r="AL77">
        <v>1305.664</v>
      </c>
    </row>
    <row r="78" spans="1:38" x14ac:dyDescent="0.3">
      <c r="A78" t="str">
        <f t="shared" si="1"/>
        <v>CH15-106-MW006Silver (Ag)-Dissolved</v>
      </c>
      <c r="B78">
        <v>1650156</v>
      </c>
      <c r="C78" t="s">
        <v>416</v>
      </c>
      <c r="D78" t="s">
        <v>142</v>
      </c>
      <c r="E78" t="s">
        <v>142</v>
      </c>
      <c r="F78" s="88">
        <v>42523</v>
      </c>
      <c r="G78">
        <v>2.93</v>
      </c>
      <c r="H78">
        <v>5.97</v>
      </c>
      <c r="I78" t="s">
        <v>417</v>
      </c>
      <c r="J78" t="s">
        <v>418</v>
      </c>
      <c r="K78" t="s">
        <v>419</v>
      </c>
      <c r="L78" t="s">
        <v>437</v>
      </c>
      <c r="M78" t="s">
        <v>421</v>
      </c>
      <c r="N78">
        <v>100394552</v>
      </c>
      <c r="O78" t="s">
        <v>483</v>
      </c>
      <c r="P78" t="s">
        <v>484</v>
      </c>
      <c r="Q78" s="87">
        <v>1.0000000000000001E-5</v>
      </c>
      <c r="R78" t="s">
        <v>309</v>
      </c>
      <c r="S78">
        <v>1.0000000000000001E-5</v>
      </c>
      <c r="T78" t="s">
        <v>145</v>
      </c>
      <c r="U78" t="s">
        <v>426</v>
      </c>
      <c r="V78" t="s">
        <v>62</v>
      </c>
      <c r="W78" t="s">
        <v>62</v>
      </c>
      <c r="X78" t="s">
        <v>62</v>
      </c>
      <c r="Z78">
        <v>1.0000000000000001E-5</v>
      </c>
      <c r="AA78">
        <v>1.0000000000000001E-5</v>
      </c>
      <c r="AB78" t="s">
        <v>309</v>
      </c>
      <c r="AD78">
        <v>1.0000000000000001E-5</v>
      </c>
      <c r="AE78">
        <v>1.0000000000000001E-5</v>
      </c>
      <c r="AF78" t="s">
        <v>309</v>
      </c>
      <c r="AG78" t="s">
        <v>424</v>
      </c>
      <c r="AH78">
        <v>585316.98699999996</v>
      </c>
      <c r="AI78">
        <v>6916726.6519999998</v>
      </c>
      <c r="AJ78">
        <v>1307.184</v>
      </c>
      <c r="AK78">
        <v>1308.704</v>
      </c>
      <c r="AL78">
        <v>1305.664</v>
      </c>
    </row>
    <row r="79" spans="1:38" x14ac:dyDescent="0.3">
      <c r="A79" t="str">
        <f t="shared" si="1"/>
        <v>CH15-106-MW006Sodium (Na)-Dissolved</v>
      </c>
      <c r="B79">
        <v>1650156</v>
      </c>
      <c r="C79" t="s">
        <v>416</v>
      </c>
      <c r="D79" t="s">
        <v>142</v>
      </c>
      <c r="E79" t="s">
        <v>142</v>
      </c>
      <c r="F79" s="88">
        <v>42523</v>
      </c>
      <c r="G79">
        <v>2.93</v>
      </c>
      <c r="H79">
        <v>5.97</v>
      </c>
      <c r="I79" t="s">
        <v>417</v>
      </c>
      <c r="J79" t="s">
        <v>418</v>
      </c>
      <c r="K79" t="s">
        <v>419</v>
      </c>
      <c r="L79" t="s">
        <v>437</v>
      </c>
      <c r="M79" t="s">
        <v>421</v>
      </c>
      <c r="N79">
        <v>100394552</v>
      </c>
      <c r="O79" t="s">
        <v>485</v>
      </c>
      <c r="P79" t="s">
        <v>486</v>
      </c>
      <c r="Q79">
        <v>2.88</v>
      </c>
      <c r="R79" t="s">
        <v>309</v>
      </c>
      <c r="S79">
        <v>0.05</v>
      </c>
      <c r="T79" t="s">
        <v>145</v>
      </c>
      <c r="U79" t="s">
        <v>145</v>
      </c>
      <c r="X79" t="s">
        <v>237</v>
      </c>
      <c r="Z79">
        <v>0.05</v>
      </c>
      <c r="AA79">
        <v>0.05</v>
      </c>
      <c r="AB79" t="s">
        <v>309</v>
      </c>
      <c r="AD79">
        <v>2.88</v>
      </c>
      <c r="AE79">
        <v>2.88</v>
      </c>
      <c r="AF79" t="s">
        <v>309</v>
      </c>
      <c r="AG79" t="s">
        <v>424</v>
      </c>
      <c r="AH79">
        <v>585316.98699999996</v>
      </c>
      <c r="AI79">
        <v>6916726.6519999998</v>
      </c>
      <c r="AJ79">
        <v>1307.184</v>
      </c>
      <c r="AK79">
        <v>1308.704</v>
      </c>
      <c r="AL79">
        <v>1305.664</v>
      </c>
    </row>
    <row r="80" spans="1:38" x14ac:dyDescent="0.3">
      <c r="A80" t="str">
        <f t="shared" si="1"/>
        <v>CH15-106-MW006Strontium, dissolved</v>
      </c>
      <c r="B80">
        <v>1650156</v>
      </c>
      <c r="C80" t="s">
        <v>416</v>
      </c>
      <c r="D80" t="s">
        <v>142</v>
      </c>
      <c r="E80" t="s">
        <v>142</v>
      </c>
      <c r="F80" s="88">
        <v>42523</v>
      </c>
      <c r="G80">
        <v>2.93</v>
      </c>
      <c r="H80">
        <v>5.97</v>
      </c>
      <c r="I80" t="s">
        <v>417</v>
      </c>
      <c r="J80" t="s">
        <v>418</v>
      </c>
      <c r="K80" t="s">
        <v>419</v>
      </c>
      <c r="L80" t="s">
        <v>437</v>
      </c>
      <c r="M80" t="s">
        <v>421</v>
      </c>
      <c r="N80">
        <v>100394552</v>
      </c>
      <c r="O80" t="s">
        <v>487</v>
      </c>
      <c r="P80" t="s">
        <v>488</v>
      </c>
      <c r="Q80">
        <v>8.9499999999999996E-2</v>
      </c>
      <c r="R80" t="s">
        <v>309</v>
      </c>
      <c r="S80">
        <v>2.0000000000000001E-4</v>
      </c>
      <c r="T80" t="s">
        <v>145</v>
      </c>
      <c r="U80" t="s">
        <v>145</v>
      </c>
      <c r="X80" t="s">
        <v>237</v>
      </c>
      <c r="Z80">
        <v>2.0000000000000001E-4</v>
      </c>
      <c r="AA80">
        <v>2.0000000000000001E-4</v>
      </c>
      <c r="AB80" t="s">
        <v>309</v>
      </c>
      <c r="AD80">
        <v>8.9499999999999996E-2</v>
      </c>
      <c r="AE80">
        <v>8.9499999999999996E-2</v>
      </c>
      <c r="AF80" t="s">
        <v>309</v>
      </c>
      <c r="AG80" t="s">
        <v>424</v>
      </c>
      <c r="AH80">
        <v>585316.98699999996</v>
      </c>
      <c r="AI80">
        <v>6916726.6519999998</v>
      </c>
      <c r="AJ80">
        <v>1307.184</v>
      </c>
      <c r="AK80">
        <v>1308.704</v>
      </c>
      <c r="AL80">
        <v>1305.664</v>
      </c>
    </row>
    <row r="81" spans="1:38" x14ac:dyDescent="0.3">
      <c r="A81" t="str">
        <f t="shared" si="1"/>
        <v>CH15-106-MW006Thallium (Tl)-Dissolved</v>
      </c>
      <c r="B81">
        <v>1650156</v>
      </c>
      <c r="C81" t="s">
        <v>416</v>
      </c>
      <c r="D81" t="s">
        <v>142</v>
      </c>
      <c r="E81" t="s">
        <v>142</v>
      </c>
      <c r="F81" s="88">
        <v>42523</v>
      </c>
      <c r="G81">
        <v>2.93</v>
      </c>
      <c r="H81">
        <v>5.97</v>
      </c>
      <c r="I81" t="s">
        <v>417</v>
      </c>
      <c r="J81" t="s">
        <v>418</v>
      </c>
      <c r="K81" t="s">
        <v>419</v>
      </c>
      <c r="L81" t="s">
        <v>437</v>
      </c>
      <c r="M81" t="s">
        <v>421</v>
      </c>
      <c r="N81">
        <v>100394552</v>
      </c>
      <c r="O81" t="s">
        <v>489</v>
      </c>
      <c r="P81" t="s">
        <v>490</v>
      </c>
      <c r="Q81" s="87">
        <v>1.0000000000000001E-5</v>
      </c>
      <c r="R81" t="s">
        <v>309</v>
      </c>
      <c r="S81">
        <v>1.0000000000000001E-5</v>
      </c>
      <c r="T81" t="s">
        <v>145</v>
      </c>
      <c r="U81" t="s">
        <v>426</v>
      </c>
      <c r="V81" t="s">
        <v>62</v>
      </c>
      <c r="W81" t="s">
        <v>62</v>
      </c>
      <c r="X81" t="s">
        <v>62</v>
      </c>
      <c r="Z81">
        <v>1.0000000000000001E-5</v>
      </c>
      <c r="AA81">
        <v>1.0000000000000001E-5</v>
      </c>
      <c r="AB81" t="s">
        <v>309</v>
      </c>
      <c r="AD81">
        <v>1.0000000000000001E-5</v>
      </c>
      <c r="AE81">
        <v>1.0000000000000001E-5</v>
      </c>
      <c r="AF81" t="s">
        <v>309</v>
      </c>
      <c r="AG81" t="s">
        <v>424</v>
      </c>
      <c r="AH81">
        <v>585316.98699999996</v>
      </c>
      <c r="AI81">
        <v>6916726.6519999998</v>
      </c>
      <c r="AJ81">
        <v>1307.184</v>
      </c>
      <c r="AK81">
        <v>1308.704</v>
      </c>
      <c r="AL81">
        <v>1305.664</v>
      </c>
    </row>
    <row r="82" spans="1:38" x14ac:dyDescent="0.3">
      <c r="A82" t="str">
        <f t="shared" si="1"/>
        <v>CH15-106-MW006Titanium, dissolved</v>
      </c>
      <c r="B82">
        <v>1650156</v>
      </c>
      <c r="C82" t="s">
        <v>416</v>
      </c>
      <c r="D82" t="s">
        <v>142</v>
      </c>
      <c r="E82" t="s">
        <v>142</v>
      </c>
      <c r="F82" s="88">
        <v>42523</v>
      </c>
      <c r="G82">
        <v>2.93</v>
      </c>
      <c r="H82">
        <v>5.97</v>
      </c>
      <c r="I82" t="s">
        <v>417</v>
      </c>
      <c r="J82" t="s">
        <v>418</v>
      </c>
      <c r="K82" t="s">
        <v>419</v>
      </c>
      <c r="L82" t="s">
        <v>437</v>
      </c>
      <c r="M82" t="s">
        <v>421</v>
      </c>
      <c r="N82">
        <v>100394552</v>
      </c>
      <c r="O82" t="s">
        <v>491</v>
      </c>
      <c r="P82" t="s">
        <v>492</v>
      </c>
      <c r="Q82">
        <v>2.9999999999999997E-4</v>
      </c>
      <c r="R82" t="s">
        <v>309</v>
      </c>
      <c r="S82">
        <v>2.9999999999999997E-4</v>
      </c>
      <c r="T82" t="s">
        <v>145</v>
      </c>
      <c r="U82" t="s">
        <v>426</v>
      </c>
      <c r="V82" t="s">
        <v>62</v>
      </c>
      <c r="W82" t="s">
        <v>62</v>
      </c>
      <c r="X82" t="s">
        <v>62</v>
      </c>
      <c r="Z82">
        <v>2.9999999999999997E-4</v>
      </c>
      <c r="AA82">
        <v>2.9999999999999997E-4</v>
      </c>
      <c r="AB82" t="s">
        <v>309</v>
      </c>
      <c r="AD82">
        <v>2.9999999999999997E-4</v>
      </c>
      <c r="AE82">
        <v>2.9999999999999997E-4</v>
      </c>
      <c r="AF82" t="s">
        <v>309</v>
      </c>
      <c r="AG82" t="s">
        <v>424</v>
      </c>
      <c r="AH82">
        <v>585316.98699999996</v>
      </c>
      <c r="AI82">
        <v>6916726.6519999998</v>
      </c>
      <c r="AJ82">
        <v>1307.184</v>
      </c>
      <c r="AK82">
        <v>1308.704</v>
      </c>
      <c r="AL82">
        <v>1305.664</v>
      </c>
    </row>
    <row r="83" spans="1:38" x14ac:dyDescent="0.3">
      <c r="A83" t="str">
        <f t="shared" si="1"/>
        <v>CH15-106-MW006Antimony (Sb)-Dissolved</v>
      </c>
      <c r="B83">
        <v>1650156</v>
      </c>
      <c r="C83" t="s">
        <v>416</v>
      </c>
      <c r="D83" t="s">
        <v>142</v>
      </c>
      <c r="E83" t="s">
        <v>142</v>
      </c>
      <c r="F83" s="88">
        <v>42523</v>
      </c>
      <c r="G83">
        <v>2.93</v>
      </c>
      <c r="H83">
        <v>5.97</v>
      </c>
      <c r="I83" t="s">
        <v>417</v>
      </c>
      <c r="J83" t="s">
        <v>418</v>
      </c>
      <c r="K83" t="s">
        <v>419</v>
      </c>
      <c r="L83" t="s">
        <v>437</v>
      </c>
      <c r="M83" t="s">
        <v>421</v>
      </c>
      <c r="N83">
        <v>100394552</v>
      </c>
      <c r="O83" t="s">
        <v>493</v>
      </c>
      <c r="P83" t="s">
        <v>494</v>
      </c>
      <c r="Q83">
        <v>1E-4</v>
      </c>
      <c r="R83" t="s">
        <v>309</v>
      </c>
      <c r="S83">
        <v>1E-4</v>
      </c>
      <c r="T83" t="s">
        <v>145</v>
      </c>
      <c r="U83" t="s">
        <v>426</v>
      </c>
      <c r="V83" t="s">
        <v>62</v>
      </c>
      <c r="W83" t="s">
        <v>62</v>
      </c>
      <c r="X83" t="s">
        <v>62</v>
      </c>
      <c r="Z83">
        <v>1E-4</v>
      </c>
      <c r="AA83">
        <v>1E-4</v>
      </c>
      <c r="AB83" t="s">
        <v>309</v>
      </c>
      <c r="AD83">
        <v>1E-4</v>
      </c>
      <c r="AE83">
        <v>1E-4</v>
      </c>
      <c r="AF83" t="s">
        <v>309</v>
      </c>
      <c r="AG83" t="s">
        <v>424</v>
      </c>
      <c r="AH83">
        <v>585316.98699999996</v>
      </c>
      <c r="AI83">
        <v>6916726.6519999998</v>
      </c>
      <c r="AJ83">
        <v>1307.184</v>
      </c>
      <c r="AK83">
        <v>1308.704</v>
      </c>
      <c r="AL83">
        <v>1305.664</v>
      </c>
    </row>
    <row r="84" spans="1:38" x14ac:dyDescent="0.3">
      <c r="A84" t="str">
        <f t="shared" si="1"/>
        <v>CH15-106-MW006Silica, Dissolved</v>
      </c>
      <c r="B84">
        <v>1650156</v>
      </c>
      <c r="C84" t="s">
        <v>416</v>
      </c>
      <c r="D84" t="s">
        <v>142</v>
      </c>
      <c r="E84" t="s">
        <v>142</v>
      </c>
      <c r="F84" s="88">
        <v>42523</v>
      </c>
      <c r="G84">
        <v>2.93</v>
      </c>
      <c r="H84">
        <v>5.97</v>
      </c>
      <c r="I84" t="s">
        <v>417</v>
      </c>
      <c r="J84" t="s">
        <v>418</v>
      </c>
      <c r="K84" t="s">
        <v>419</v>
      </c>
      <c r="L84" t="s">
        <v>420</v>
      </c>
      <c r="M84" t="s">
        <v>421</v>
      </c>
      <c r="N84">
        <v>100394551</v>
      </c>
      <c r="O84" t="s">
        <v>471</v>
      </c>
      <c r="P84" t="s">
        <v>472</v>
      </c>
      <c r="Q84">
        <v>18.600000000000001</v>
      </c>
      <c r="R84" t="s">
        <v>309</v>
      </c>
      <c r="S84">
        <v>0.2</v>
      </c>
      <c r="T84" t="s">
        <v>145</v>
      </c>
      <c r="U84" t="s">
        <v>145</v>
      </c>
      <c r="X84" t="s">
        <v>237</v>
      </c>
      <c r="Z84">
        <v>0.2</v>
      </c>
      <c r="AA84">
        <v>0.2</v>
      </c>
      <c r="AB84" t="s">
        <v>309</v>
      </c>
      <c r="AD84">
        <v>18.600000000000001</v>
      </c>
      <c r="AE84">
        <v>18.600000000000001</v>
      </c>
      <c r="AF84" t="s">
        <v>309</v>
      </c>
      <c r="AG84" t="s">
        <v>424</v>
      </c>
      <c r="AH84">
        <v>585316.98699999996</v>
      </c>
      <c r="AI84">
        <v>6916726.6519999998</v>
      </c>
      <c r="AJ84">
        <v>1307.184</v>
      </c>
      <c r="AK84">
        <v>1308.704</v>
      </c>
      <c r="AL84">
        <v>1305.664</v>
      </c>
    </row>
    <row r="85" spans="1:38" x14ac:dyDescent="0.3">
      <c r="A85" t="str">
        <f t="shared" si="1"/>
        <v>CH15-106-MW006Aluminum, dissolved</v>
      </c>
      <c r="B85">
        <v>1650156</v>
      </c>
      <c r="C85" t="s">
        <v>416</v>
      </c>
      <c r="D85" t="s">
        <v>142</v>
      </c>
      <c r="E85" t="s">
        <v>142</v>
      </c>
      <c r="F85" s="88">
        <v>42523</v>
      </c>
      <c r="G85">
        <v>2.93</v>
      </c>
      <c r="H85">
        <v>5.97</v>
      </c>
      <c r="I85" t="s">
        <v>417</v>
      </c>
      <c r="J85" t="s">
        <v>418</v>
      </c>
      <c r="K85" t="s">
        <v>419</v>
      </c>
      <c r="L85" t="s">
        <v>437</v>
      </c>
      <c r="M85" t="s">
        <v>421</v>
      </c>
      <c r="N85">
        <v>100394552</v>
      </c>
      <c r="O85" t="s">
        <v>473</v>
      </c>
      <c r="P85" t="s">
        <v>474</v>
      </c>
      <c r="Q85">
        <v>1E-3</v>
      </c>
      <c r="R85" t="s">
        <v>309</v>
      </c>
      <c r="S85">
        <v>1E-3</v>
      </c>
      <c r="T85" t="s">
        <v>145</v>
      </c>
      <c r="U85" t="s">
        <v>426</v>
      </c>
      <c r="V85" t="s">
        <v>62</v>
      </c>
      <c r="W85" t="s">
        <v>62</v>
      </c>
      <c r="X85" t="s">
        <v>237</v>
      </c>
      <c r="Z85">
        <v>1E-3</v>
      </c>
      <c r="AA85">
        <v>1E-3</v>
      </c>
      <c r="AB85" t="s">
        <v>309</v>
      </c>
      <c r="AD85">
        <v>5.4999999999999997E-3</v>
      </c>
      <c r="AE85">
        <v>5.4999999999999997E-3</v>
      </c>
      <c r="AF85" t="s">
        <v>309</v>
      </c>
      <c r="AG85" t="s">
        <v>424</v>
      </c>
      <c r="AH85">
        <v>585316.98699999996</v>
      </c>
      <c r="AI85">
        <v>6916726.6519999998</v>
      </c>
      <c r="AJ85">
        <v>1307.184</v>
      </c>
      <c r="AK85">
        <v>1308.704</v>
      </c>
      <c r="AL85">
        <v>1305.664</v>
      </c>
    </row>
    <row r="86" spans="1:38" x14ac:dyDescent="0.3">
      <c r="A86" t="str">
        <f t="shared" si="1"/>
        <v>CH15-106-MW006Lead (Pb)-Dissolved</v>
      </c>
      <c r="B86">
        <v>1650156</v>
      </c>
      <c r="C86" t="s">
        <v>416</v>
      </c>
      <c r="D86" t="s">
        <v>142</v>
      </c>
      <c r="E86" t="s">
        <v>142</v>
      </c>
      <c r="F86" s="88">
        <v>42523</v>
      </c>
      <c r="G86">
        <v>2.93</v>
      </c>
      <c r="H86">
        <v>5.97</v>
      </c>
      <c r="I86" t="s">
        <v>417</v>
      </c>
      <c r="J86" t="s">
        <v>418</v>
      </c>
      <c r="K86" t="s">
        <v>419</v>
      </c>
      <c r="L86" t="s">
        <v>437</v>
      </c>
      <c r="M86" t="s">
        <v>421</v>
      </c>
      <c r="N86">
        <v>100394552</v>
      </c>
      <c r="O86" t="s">
        <v>475</v>
      </c>
      <c r="P86" t="s">
        <v>476</v>
      </c>
      <c r="Q86">
        <v>3.5199999999999999E-4</v>
      </c>
      <c r="R86" t="s">
        <v>309</v>
      </c>
      <c r="S86">
        <v>5.0000000000000002E-5</v>
      </c>
      <c r="T86" t="s">
        <v>145</v>
      </c>
      <c r="U86" t="s">
        <v>145</v>
      </c>
      <c r="X86" t="s">
        <v>237</v>
      </c>
      <c r="Z86">
        <v>5.0000000000000002E-5</v>
      </c>
      <c r="AA86">
        <v>5.0000000000000002E-5</v>
      </c>
      <c r="AB86" t="s">
        <v>309</v>
      </c>
      <c r="AD86">
        <v>3.5199999999999999E-4</v>
      </c>
      <c r="AE86">
        <v>3.5199999999999999E-4</v>
      </c>
      <c r="AF86" t="s">
        <v>309</v>
      </c>
      <c r="AG86" t="s">
        <v>424</v>
      </c>
      <c r="AH86">
        <v>585316.98699999996</v>
      </c>
      <c r="AI86">
        <v>6916726.6519999998</v>
      </c>
      <c r="AJ86">
        <v>1307.184</v>
      </c>
      <c r="AK86">
        <v>1308.704</v>
      </c>
      <c r="AL86">
        <v>1305.664</v>
      </c>
    </row>
    <row r="87" spans="1:38" x14ac:dyDescent="0.3">
      <c r="A87" t="str">
        <f t="shared" si="1"/>
        <v>CH15-106-MW006Manganese, dissolved</v>
      </c>
      <c r="B87">
        <v>1650156</v>
      </c>
      <c r="C87" t="s">
        <v>416</v>
      </c>
      <c r="D87" t="s">
        <v>142</v>
      </c>
      <c r="E87" t="s">
        <v>142</v>
      </c>
      <c r="F87" s="88">
        <v>42523</v>
      </c>
      <c r="G87">
        <v>2.93</v>
      </c>
      <c r="H87">
        <v>5.97</v>
      </c>
      <c r="I87" t="s">
        <v>417</v>
      </c>
      <c r="J87" t="s">
        <v>418</v>
      </c>
      <c r="K87" t="s">
        <v>419</v>
      </c>
      <c r="L87" t="s">
        <v>437</v>
      </c>
      <c r="M87" t="s">
        <v>421</v>
      </c>
      <c r="N87">
        <v>100394552</v>
      </c>
      <c r="O87" t="s">
        <v>477</v>
      </c>
      <c r="P87" t="s">
        <v>478</v>
      </c>
      <c r="Q87">
        <v>0.11</v>
      </c>
      <c r="R87" t="s">
        <v>309</v>
      </c>
      <c r="S87">
        <v>1E-4</v>
      </c>
      <c r="T87" t="s">
        <v>145</v>
      </c>
      <c r="U87" t="s">
        <v>145</v>
      </c>
      <c r="X87" t="s">
        <v>237</v>
      </c>
      <c r="Z87">
        <v>1E-4</v>
      </c>
      <c r="AA87">
        <v>1E-4</v>
      </c>
      <c r="AB87" t="s">
        <v>309</v>
      </c>
      <c r="AD87">
        <v>0.11</v>
      </c>
      <c r="AE87">
        <v>0.11</v>
      </c>
      <c r="AF87" t="s">
        <v>309</v>
      </c>
      <c r="AG87" t="s">
        <v>424</v>
      </c>
      <c r="AH87">
        <v>585316.98699999996</v>
      </c>
      <c r="AI87">
        <v>6916726.6519999998</v>
      </c>
      <c r="AJ87">
        <v>1307.184</v>
      </c>
      <c r="AK87">
        <v>1308.704</v>
      </c>
      <c r="AL87">
        <v>1305.664</v>
      </c>
    </row>
    <row r="88" spans="1:38" x14ac:dyDescent="0.3">
      <c r="A88" t="str">
        <f t="shared" si="1"/>
        <v>CH15-106-MW006Molybdenum (Mo)-Dissolved</v>
      </c>
      <c r="B88">
        <v>1650156</v>
      </c>
      <c r="C88" t="s">
        <v>416</v>
      </c>
      <c r="D88" t="s">
        <v>142</v>
      </c>
      <c r="E88" t="s">
        <v>142</v>
      </c>
      <c r="F88" s="88">
        <v>42523</v>
      </c>
      <c r="G88">
        <v>2.93</v>
      </c>
      <c r="H88">
        <v>5.97</v>
      </c>
      <c r="I88" t="s">
        <v>417</v>
      </c>
      <c r="J88" t="s">
        <v>418</v>
      </c>
      <c r="K88" t="s">
        <v>419</v>
      </c>
      <c r="L88" t="s">
        <v>437</v>
      </c>
      <c r="M88" t="s">
        <v>421</v>
      </c>
      <c r="N88">
        <v>100394552</v>
      </c>
      <c r="O88" t="s">
        <v>479</v>
      </c>
      <c r="P88" t="s">
        <v>480</v>
      </c>
      <c r="Q88">
        <v>2.3000000000000001E-4</v>
      </c>
      <c r="R88" t="s">
        <v>309</v>
      </c>
      <c r="S88">
        <v>5.0000000000000002E-5</v>
      </c>
      <c r="T88" t="s">
        <v>145</v>
      </c>
      <c r="U88" t="s">
        <v>145</v>
      </c>
      <c r="X88" t="s">
        <v>237</v>
      </c>
      <c r="Z88">
        <v>5.0000000000000002E-5</v>
      </c>
      <c r="AA88">
        <v>5.0000000000000002E-5</v>
      </c>
      <c r="AB88" t="s">
        <v>309</v>
      </c>
      <c r="AD88">
        <v>2.3000000000000001E-4</v>
      </c>
      <c r="AE88">
        <v>2.3000000000000001E-4</v>
      </c>
      <c r="AF88" t="s">
        <v>309</v>
      </c>
      <c r="AG88" t="s">
        <v>424</v>
      </c>
      <c r="AH88">
        <v>585316.98699999996</v>
      </c>
      <c r="AI88">
        <v>6916726.6519999998</v>
      </c>
      <c r="AJ88">
        <v>1307.184</v>
      </c>
      <c r="AK88">
        <v>1308.704</v>
      </c>
      <c r="AL88">
        <v>1305.664</v>
      </c>
    </row>
    <row r="89" spans="1:38" x14ac:dyDescent="0.3">
      <c r="A89" t="str">
        <f t="shared" si="1"/>
        <v>CH15-106-MW006Nickel (Ni)-Dissolved</v>
      </c>
      <c r="B89">
        <v>1650156</v>
      </c>
      <c r="C89" t="s">
        <v>416</v>
      </c>
      <c r="D89" t="s">
        <v>142</v>
      </c>
      <c r="E89" t="s">
        <v>142</v>
      </c>
      <c r="F89" s="88">
        <v>42523</v>
      </c>
      <c r="G89">
        <v>2.93</v>
      </c>
      <c r="H89">
        <v>5.97</v>
      </c>
      <c r="I89" t="s">
        <v>417</v>
      </c>
      <c r="J89" t="s">
        <v>418</v>
      </c>
      <c r="K89" t="s">
        <v>419</v>
      </c>
      <c r="L89" t="s">
        <v>437</v>
      </c>
      <c r="M89" t="s">
        <v>421</v>
      </c>
      <c r="N89">
        <v>100394552</v>
      </c>
      <c r="O89" t="s">
        <v>481</v>
      </c>
      <c r="P89" t="s">
        <v>482</v>
      </c>
      <c r="Q89">
        <v>1.6999999999999999E-3</v>
      </c>
      <c r="R89" t="s">
        <v>309</v>
      </c>
      <c r="S89">
        <v>5.0000000000000001E-4</v>
      </c>
      <c r="T89" t="s">
        <v>145</v>
      </c>
      <c r="U89" t="s">
        <v>145</v>
      </c>
      <c r="X89" t="s">
        <v>237</v>
      </c>
      <c r="Z89">
        <v>5.0000000000000001E-4</v>
      </c>
      <c r="AA89">
        <v>5.0000000000000001E-4</v>
      </c>
      <c r="AB89" t="s">
        <v>309</v>
      </c>
      <c r="AD89">
        <v>1.6999999999999999E-3</v>
      </c>
      <c r="AE89">
        <v>1.6999999999999999E-3</v>
      </c>
      <c r="AF89" t="s">
        <v>309</v>
      </c>
      <c r="AG89" t="s">
        <v>424</v>
      </c>
      <c r="AH89">
        <v>585316.98699999996</v>
      </c>
      <c r="AI89">
        <v>6916726.6519999998</v>
      </c>
      <c r="AJ89">
        <v>1307.184</v>
      </c>
      <c r="AK89">
        <v>1308.704</v>
      </c>
      <c r="AL89">
        <v>1305.664</v>
      </c>
    </row>
    <row r="90" spans="1:38" x14ac:dyDescent="0.3">
      <c r="A90" t="str">
        <f t="shared" si="1"/>
        <v>CH15-106-MW006Iron, dissolved</v>
      </c>
      <c r="B90">
        <v>1650156</v>
      </c>
      <c r="C90" t="s">
        <v>416</v>
      </c>
      <c r="D90" t="s">
        <v>142</v>
      </c>
      <c r="E90" t="s">
        <v>142</v>
      </c>
      <c r="F90" s="88">
        <v>42523</v>
      </c>
      <c r="G90">
        <v>2.93</v>
      </c>
      <c r="H90">
        <v>5.97</v>
      </c>
      <c r="I90" t="s">
        <v>417</v>
      </c>
      <c r="J90" t="s">
        <v>418</v>
      </c>
      <c r="K90" t="s">
        <v>419</v>
      </c>
      <c r="L90" t="s">
        <v>437</v>
      </c>
      <c r="M90" t="s">
        <v>421</v>
      </c>
      <c r="N90">
        <v>100394550</v>
      </c>
      <c r="O90" t="s">
        <v>459</v>
      </c>
      <c r="P90" t="s">
        <v>460</v>
      </c>
      <c r="Q90">
        <v>0.17599999999999999</v>
      </c>
      <c r="R90" t="s">
        <v>309</v>
      </c>
      <c r="S90">
        <v>0.03</v>
      </c>
      <c r="T90" t="s">
        <v>145</v>
      </c>
      <c r="U90" t="s">
        <v>145</v>
      </c>
      <c r="X90" t="s">
        <v>237</v>
      </c>
      <c r="Z90">
        <v>0.03</v>
      </c>
      <c r="AA90">
        <v>0.03</v>
      </c>
      <c r="AB90" t="s">
        <v>309</v>
      </c>
      <c r="AD90">
        <v>0.17599999999999999</v>
      </c>
      <c r="AE90">
        <v>0.17599999999999999</v>
      </c>
      <c r="AF90" t="s">
        <v>309</v>
      </c>
      <c r="AG90" t="s">
        <v>424</v>
      </c>
      <c r="AH90">
        <v>585316.98699999996</v>
      </c>
      <c r="AI90">
        <v>6916726.6519999998</v>
      </c>
      <c r="AJ90">
        <v>1307.184</v>
      </c>
      <c r="AK90">
        <v>1308.704</v>
      </c>
      <c r="AL90">
        <v>1305.664</v>
      </c>
    </row>
    <row r="91" spans="1:38" x14ac:dyDescent="0.3">
      <c r="A91" t="str">
        <f t="shared" si="1"/>
        <v>CH15-106-MW006Magnesium, dissolved</v>
      </c>
      <c r="B91">
        <v>1650156</v>
      </c>
      <c r="C91" t="s">
        <v>416</v>
      </c>
      <c r="D91" t="s">
        <v>142</v>
      </c>
      <c r="E91" t="s">
        <v>142</v>
      </c>
      <c r="F91" s="88">
        <v>42523</v>
      </c>
      <c r="G91">
        <v>2.93</v>
      </c>
      <c r="H91">
        <v>5.97</v>
      </c>
      <c r="I91" t="s">
        <v>417</v>
      </c>
      <c r="J91" t="s">
        <v>418</v>
      </c>
      <c r="K91" t="s">
        <v>419</v>
      </c>
      <c r="L91" t="s">
        <v>437</v>
      </c>
      <c r="M91" t="s">
        <v>421</v>
      </c>
      <c r="N91">
        <v>100394550</v>
      </c>
      <c r="O91" t="s">
        <v>461</v>
      </c>
      <c r="P91" t="s">
        <v>462</v>
      </c>
      <c r="Q91">
        <v>3.61</v>
      </c>
      <c r="R91" t="s">
        <v>309</v>
      </c>
      <c r="S91">
        <v>0.1</v>
      </c>
      <c r="T91" t="s">
        <v>145</v>
      </c>
      <c r="U91" t="s">
        <v>145</v>
      </c>
      <c r="X91" t="s">
        <v>237</v>
      </c>
      <c r="Z91">
        <v>0.1</v>
      </c>
      <c r="AA91">
        <v>0.1</v>
      </c>
      <c r="AB91" t="s">
        <v>309</v>
      </c>
      <c r="AD91">
        <v>3.61</v>
      </c>
      <c r="AE91">
        <v>3.61</v>
      </c>
      <c r="AF91" t="s">
        <v>309</v>
      </c>
      <c r="AG91" t="s">
        <v>424</v>
      </c>
      <c r="AH91">
        <v>585316.98699999996</v>
      </c>
      <c r="AI91">
        <v>6916726.6519999998</v>
      </c>
      <c r="AJ91">
        <v>1307.184</v>
      </c>
      <c r="AK91">
        <v>1308.704</v>
      </c>
      <c r="AL91">
        <v>1305.664</v>
      </c>
    </row>
    <row r="92" spans="1:38" x14ac:dyDescent="0.3">
      <c r="A92" t="str">
        <f t="shared" si="1"/>
        <v>CH15-106-MW006Silicon, dissolved</v>
      </c>
      <c r="B92">
        <v>1650156</v>
      </c>
      <c r="C92" t="s">
        <v>416</v>
      </c>
      <c r="D92" t="s">
        <v>142</v>
      </c>
      <c r="E92" t="s">
        <v>142</v>
      </c>
      <c r="F92" s="88">
        <v>42523</v>
      </c>
      <c r="G92">
        <v>2.93</v>
      </c>
      <c r="H92">
        <v>5.97</v>
      </c>
      <c r="I92" t="s">
        <v>417</v>
      </c>
      <c r="J92" t="s">
        <v>418</v>
      </c>
      <c r="K92" t="s">
        <v>419</v>
      </c>
      <c r="L92" t="s">
        <v>437</v>
      </c>
      <c r="M92" t="s">
        <v>421</v>
      </c>
      <c r="N92">
        <v>100394550</v>
      </c>
      <c r="O92" t="s">
        <v>463</v>
      </c>
      <c r="P92" t="s">
        <v>464</v>
      </c>
      <c r="Q92">
        <v>8.69</v>
      </c>
      <c r="R92" t="s">
        <v>309</v>
      </c>
      <c r="S92">
        <v>0.05</v>
      </c>
      <c r="T92" t="s">
        <v>145</v>
      </c>
      <c r="U92" t="s">
        <v>145</v>
      </c>
      <c r="X92" t="s">
        <v>237</v>
      </c>
      <c r="Z92">
        <v>0.05</v>
      </c>
      <c r="AA92">
        <v>0.05</v>
      </c>
      <c r="AB92" t="s">
        <v>309</v>
      </c>
      <c r="AD92">
        <v>8.69</v>
      </c>
      <c r="AE92">
        <v>8.69</v>
      </c>
      <c r="AF92" t="s">
        <v>309</v>
      </c>
      <c r="AG92" t="s">
        <v>424</v>
      </c>
      <c r="AH92">
        <v>585316.98699999996</v>
      </c>
      <c r="AI92">
        <v>6916726.6519999998</v>
      </c>
      <c r="AJ92">
        <v>1307.184</v>
      </c>
      <c r="AK92">
        <v>1308.704</v>
      </c>
      <c r="AL92">
        <v>1305.664</v>
      </c>
    </row>
    <row r="93" spans="1:38" x14ac:dyDescent="0.3">
      <c r="A93" t="str">
        <f t="shared" si="1"/>
        <v>CH15-106-MW006Calcium, dissolved</v>
      </c>
      <c r="B93">
        <v>1650156</v>
      </c>
      <c r="C93" t="s">
        <v>416</v>
      </c>
      <c r="D93" t="s">
        <v>142</v>
      </c>
      <c r="E93" t="s">
        <v>142</v>
      </c>
      <c r="F93" s="88">
        <v>42523</v>
      </c>
      <c r="G93">
        <v>2.93</v>
      </c>
      <c r="H93">
        <v>5.97</v>
      </c>
      <c r="I93" t="s">
        <v>417</v>
      </c>
      <c r="J93" t="s">
        <v>418</v>
      </c>
      <c r="K93" t="s">
        <v>419</v>
      </c>
      <c r="L93" t="s">
        <v>437</v>
      </c>
      <c r="M93" t="s">
        <v>421</v>
      </c>
      <c r="N93">
        <v>100394550</v>
      </c>
      <c r="O93" t="s">
        <v>465</v>
      </c>
      <c r="P93" t="s">
        <v>466</v>
      </c>
      <c r="Q93">
        <v>18.899999999999999</v>
      </c>
      <c r="R93" t="s">
        <v>309</v>
      </c>
      <c r="S93">
        <v>0.05</v>
      </c>
      <c r="T93" t="s">
        <v>145</v>
      </c>
      <c r="U93" t="s">
        <v>145</v>
      </c>
      <c r="X93" t="s">
        <v>237</v>
      </c>
      <c r="Z93">
        <v>0.05</v>
      </c>
      <c r="AA93">
        <v>0.05</v>
      </c>
      <c r="AB93" t="s">
        <v>309</v>
      </c>
      <c r="AD93">
        <v>18.899999999999999</v>
      </c>
      <c r="AE93">
        <v>18.899999999999999</v>
      </c>
      <c r="AF93" t="s">
        <v>309</v>
      </c>
      <c r="AG93" t="s">
        <v>424</v>
      </c>
      <c r="AH93">
        <v>585316.98699999996</v>
      </c>
      <c r="AI93">
        <v>6916726.6519999998</v>
      </c>
      <c r="AJ93">
        <v>1307.184</v>
      </c>
      <c r="AK93">
        <v>1308.704</v>
      </c>
      <c r="AL93">
        <v>1305.664</v>
      </c>
    </row>
    <row r="94" spans="1:38" x14ac:dyDescent="0.3">
      <c r="A94" t="str">
        <f t="shared" si="1"/>
        <v>CH15-106-MW006Sulfur, dissolved</v>
      </c>
      <c r="B94">
        <v>1650156</v>
      </c>
      <c r="C94" t="s">
        <v>416</v>
      </c>
      <c r="D94" t="s">
        <v>142</v>
      </c>
      <c r="E94" t="s">
        <v>142</v>
      </c>
      <c r="F94" s="88">
        <v>42523</v>
      </c>
      <c r="G94">
        <v>2.93</v>
      </c>
      <c r="H94">
        <v>5.97</v>
      </c>
      <c r="I94" t="s">
        <v>417</v>
      </c>
      <c r="J94" t="s">
        <v>418</v>
      </c>
      <c r="K94" t="s">
        <v>419</v>
      </c>
      <c r="L94" t="s">
        <v>437</v>
      </c>
      <c r="M94" t="s">
        <v>421</v>
      </c>
      <c r="N94">
        <v>100394550</v>
      </c>
      <c r="O94" t="s">
        <v>467</v>
      </c>
      <c r="P94" t="s">
        <v>468</v>
      </c>
      <c r="Q94">
        <v>6.87</v>
      </c>
      <c r="R94" t="s">
        <v>309</v>
      </c>
      <c r="S94">
        <v>0.5</v>
      </c>
      <c r="T94" t="s">
        <v>145</v>
      </c>
      <c r="U94" t="s">
        <v>145</v>
      </c>
      <c r="X94" t="s">
        <v>237</v>
      </c>
      <c r="Z94">
        <v>0.5</v>
      </c>
      <c r="AA94">
        <v>0.5</v>
      </c>
      <c r="AB94" t="s">
        <v>309</v>
      </c>
      <c r="AD94">
        <v>6.87</v>
      </c>
      <c r="AE94">
        <v>6.87</v>
      </c>
      <c r="AF94" t="s">
        <v>309</v>
      </c>
      <c r="AG94" t="s">
        <v>424</v>
      </c>
      <c r="AH94">
        <v>585316.98699999996</v>
      </c>
      <c r="AI94">
        <v>6916726.6519999998</v>
      </c>
      <c r="AJ94">
        <v>1307.184</v>
      </c>
      <c r="AK94">
        <v>1308.704</v>
      </c>
      <c r="AL94">
        <v>1305.664</v>
      </c>
    </row>
    <row r="95" spans="1:38" x14ac:dyDescent="0.3">
      <c r="A95" t="str">
        <f t="shared" si="1"/>
        <v>CH15-106-MW006Phosphorus, dissolved</v>
      </c>
      <c r="B95">
        <v>1650156</v>
      </c>
      <c r="C95" t="s">
        <v>416</v>
      </c>
      <c r="D95" t="s">
        <v>142</v>
      </c>
      <c r="E95" t="s">
        <v>142</v>
      </c>
      <c r="F95" s="88">
        <v>42523</v>
      </c>
      <c r="G95">
        <v>2.93</v>
      </c>
      <c r="H95">
        <v>5.97</v>
      </c>
      <c r="I95" t="s">
        <v>417</v>
      </c>
      <c r="J95" t="s">
        <v>418</v>
      </c>
      <c r="K95" t="s">
        <v>419</v>
      </c>
      <c r="L95" t="s">
        <v>437</v>
      </c>
      <c r="M95" t="s">
        <v>421</v>
      </c>
      <c r="N95">
        <v>100394550</v>
      </c>
      <c r="O95" t="s">
        <v>469</v>
      </c>
      <c r="P95" t="s">
        <v>470</v>
      </c>
      <c r="Q95">
        <v>0.3</v>
      </c>
      <c r="R95" t="s">
        <v>309</v>
      </c>
      <c r="S95">
        <v>0.3</v>
      </c>
      <c r="T95" t="s">
        <v>145</v>
      </c>
      <c r="U95" t="s">
        <v>426</v>
      </c>
      <c r="V95" t="s">
        <v>62</v>
      </c>
      <c r="W95" t="s">
        <v>62</v>
      </c>
      <c r="X95" t="s">
        <v>62</v>
      </c>
      <c r="Z95">
        <v>0.3</v>
      </c>
      <c r="AA95">
        <v>0.3</v>
      </c>
      <c r="AB95" t="s">
        <v>309</v>
      </c>
      <c r="AD95">
        <v>0.3</v>
      </c>
      <c r="AE95">
        <v>0.3</v>
      </c>
      <c r="AF95" t="s">
        <v>309</v>
      </c>
      <c r="AG95" t="s">
        <v>424</v>
      </c>
      <c r="AH95">
        <v>585316.98699999996</v>
      </c>
      <c r="AI95">
        <v>6916726.6519999998</v>
      </c>
      <c r="AJ95">
        <v>1307.184</v>
      </c>
      <c r="AK95">
        <v>1308.704</v>
      </c>
      <c r="AL95">
        <v>1305.664</v>
      </c>
    </row>
    <row r="96" spans="1:38" x14ac:dyDescent="0.3">
      <c r="A96" t="str">
        <f t="shared" si="1"/>
        <v>CH15-106-MW006Nitrite (as N)</v>
      </c>
      <c r="B96">
        <v>1650156</v>
      </c>
      <c r="C96" t="s">
        <v>416</v>
      </c>
      <c r="D96" t="s">
        <v>142</v>
      </c>
      <c r="E96" t="s">
        <v>142</v>
      </c>
      <c r="F96" s="88">
        <v>42523</v>
      </c>
      <c r="G96">
        <v>2.93</v>
      </c>
      <c r="H96">
        <v>5.97</v>
      </c>
      <c r="I96" t="s">
        <v>417</v>
      </c>
      <c r="J96" t="s">
        <v>418</v>
      </c>
      <c r="K96" t="s">
        <v>419</v>
      </c>
      <c r="L96" t="s">
        <v>420</v>
      </c>
      <c r="M96" t="s">
        <v>421</v>
      </c>
      <c r="N96">
        <v>100394546</v>
      </c>
      <c r="O96" t="s">
        <v>452</v>
      </c>
      <c r="P96" t="s">
        <v>342</v>
      </c>
      <c r="Q96">
        <v>1E-3</v>
      </c>
      <c r="R96" t="s">
        <v>309</v>
      </c>
      <c r="S96">
        <v>1E-3</v>
      </c>
      <c r="T96" t="s">
        <v>145</v>
      </c>
      <c r="U96" t="s">
        <v>426</v>
      </c>
      <c r="V96" t="s">
        <v>61</v>
      </c>
      <c r="W96" t="s">
        <v>61</v>
      </c>
      <c r="X96" t="s">
        <v>62</v>
      </c>
      <c r="Z96">
        <v>1E-3</v>
      </c>
      <c r="AA96">
        <v>1E-3</v>
      </c>
      <c r="AB96" t="s">
        <v>309</v>
      </c>
      <c r="AD96">
        <v>1E-3</v>
      </c>
      <c r="AE96">
        <v>1E-3</v>
      </c>
      <c r="AF96" t="s">
        <v>309</v>
      </c>
      <c r="AG96" t="s">
        <v>424</v>
      </c>
      <c r="AH96">
        <v>585316.98699999996</v>
      </c>
      <c r="AI96">
        <v>6916726.6519999998</v>
      </c>
      <c r="AJ96">
        <v>1307.184</v>
      </c>
      <c r="AK96">
        <v>1308.704</v>
      </c>
      <c r="AL96">
        <v>1305.664</v>
      </c>
    </row>
    <row r="97" spans="1:38" x14ac:dyDescent="0.3">
      <c r="A97" t="str">
        <f t="shared" si="1"/>
        <v>CH15-106-MW006Sulfate</v>
      </c>
      <c r="B97">
        <v>1650156</v>
      </c>
      <c r="C97" t="s">
        <v>416</v>
      </c>
      <c r="D97" t="s">
        <v>142</v>
      </c>
      <c r="E97" t="s">
        <v>142</v>
      </c>
      <c r="F97" s="88">
        <v>42523</v>
      </c>
      <c r="G97">
        <v>2.93</v>
      </c>
      <c r="H97">
        <v>5.97</v>
      </c>
      <c r="I97" t="s">
        <v>417</v>
      </c>
      <c r="J97" t="s">
        <v>418</v>
      </c>
      <c r="K97" t="s">
        <v>419</v>
      </c>
      <c r="L97" t="s">
        <v>420</v>
      </c>
      <c r="M97" t="s">
        <v>421</v>
      </c>
      <c r="N97">
        <v>100394546</v>
      </c>
      <c r="O97" t="s">
        <v>453</v>
      </c>
      <c r="P97" t="s">
        <v>343</v>
      </c>
      <c r="Q97">
        <v>20.8</v>
      </c>
      <c r="R97" t="s">
        <v>309</v>
      </c>
      <c r="S97">
        <v>0.3</v>
      </c>
      <c r="T97" t="s">
        <v>145</v>
      </c>
      <c r="U97" t="s">
        <v>145</v>
      </c>
      <c r="X97" t="s">
        <v>237</v>
      </c>
      <c r="Z97">
        <v>0.3</v>
      </c>
      <c r="AA97">
        <v>0.3</v>
      </c>
      <c r="AB97" t="s">
        <v>309</v>
      </c>
      <c r="AD97">
        <v>20.8</v>
      </c>
      <c r="AE97">
        <v>20.8</v>
      </c>
      <c r="AF97" t="s">
        <v>309</v>
      </c>
      <c r="AG97" t="s">
        <v>424</v>
      </c>
      <c r="AH97">
        <v>585316.98699999996</v>
      </c>
      <c r="AI97">
        <v>6916726.6519999998</v>
      </c>
      <c r="AJ97">
        <v>1307.184</v>
      </c>
      <c r="AK97">
        <v>1308.704</v>
      </c>
      <c r="AL97">
        <v>1305.664</v>
      </c>
    </row>
    <row r="98" spans="1:38" x14ac:dyDescent="0.3">
      <c r="A98" t="str">
        <f t="shared" si="1"/>
        <v>CH15-106-MW006Chloride (Cl)</v>
      </c>
      <c r="B98">
        <v>1650156</v>
      </c>
      <c r="C98" t="s">
        <v>416</v>
      </c>
      <c r="D98" t="s">
        <v>142</v>
      </c>
      <c r="E98" t="s">
        <v>142</v>
      </c>
      <c r="F98" s="88">
        <v>42523</v>
      </c>
      <c r="G98">
        <v>2.93</v>
      </c>
      <c r="H98">
        <v>5.97</v>
      </c>
      <c r="I98" t="s">
        <v>417</v>
      </c>
      <c r="J98" t="s">
        <v>418</v>
      </c>
      <c r="K98" t="s">
        <v>419</v>
      </c>
      <c r="L98" t="s">
        <v>420</v>
      </c>
      <c r="M98" t="s">
        <v>421</v>
      </c>
      <c r="N98">
        <v>100394546</v>
      </c>
      <c r="O98" t="s">
        <v>454</v>
      </c>
      <c r="P98" t="s">
        <v>339</v>
      </c>
      <c r="Q98">
        <v>0.5</v>
      </c>
      <c r="R98" t="s">
        <v>309</v>
      </c>
      <c r="S98">
        <v>0.5</v>
      </c>
      <c r="T98" t="s">
        <v>145</v>
      </c>
      <c r="U98" t="s">
        <v>426</v>
      </c>
      <c r="V98" t="s">
        <v>62</v>
      </c>
      <c r="W98" t="s">
        <v>62</v>
      </c>
      <c r="X98" t="s">
        <v>62</v>
      </c>
      <c r="Z98">
        <v>0.5</v>
      </c>
      <c r="AA98">
        <v>0.5</v>
      </c>
      <c r="AB98" t="s">
        <v>309</v>
      </c>
      <c r="AD98">
        <v>0.5</v>
      </c>
      <c r="AE98">
        <v>0.5</v>
      </c>
      <c r="AF98" t="s">
        <v>309</v>
      </c>
      <c r="AG98" t="s">
        <v>424</v>
      </c>
      <c r="AH98">
        <v>585316.98699999996</v>
      </c>
      <c r="AI98">
        <v>6916726.6519999998</v>
      </c>
      <c r="AJ98">
        <v>1307.184</v>
      </c>
      <c r="AK98">
        <v>1308.704</v>
      </c>
      <c r="AL98">
        <v>1305.664</v>
      </c>
    </row>
    <row r="99" spans="1:38" x14ac:dyDescent="0.3">
      <c r="A99" t="str">
        <f t="shared" si="1"/>
        <v>CH15-106-MW006Fluoride</v>
      </c>
      <c r="B99">
        <v>1650156</v>
      </c>
      <c r="C99" t="s">
        <v>416</v>
      </c>
      <c r="D99" t="s">
        <v>142</v>
      </c>
      <c r="E99" t="s">
        <v>142</v>
      </c>
      <c r="F99" s="88">
        <v>42523</v>
      </c>
      <c r="G99">
        <v>2.93</v>
      </c>
      <c r="H99">
        <v>5.97</v>
      </c>
      <c r="I99" t="s">
        <v>417</v>
      </c>
      <c r="J99" t="s">
        <v>418</v>
      </c>
      <c r="K99" t="s">
        <v>419</v>
      </c>
      <c r="L99" t="s">
        <v>420</v>
      </c>
      <c r="M99" t="s">
        <v>421</v>
      </c>
      <c r="N99">
        <v>100394546</v>
      </c>
      <c r="O99" t="s">
        <v>455</v>
      </c>
      <c r="P99" t="s">
        <v>340</v>
      </c>
      <c r="Q99">
        <v>9.0999999999999998E-2</v>
      </c>
      <c r="R99" t="s">
        <v>309</v>
      </c>
      <c r="S99">
        <v>0.02</v>
      </c>
      <c r="T99" t="s">
        <v>145</v>
      </c>
      <c r="U99" t="s">
        <v>145</v>
      </c>
      <c r="X99" t="s">
        <v>237</v>
      </c>
      <c r="Z99">
        <v>0.02</v>
      </c>
      <c r="AA99">
        <v>0.02</v>
      </c>
      <c r="AB99" t="s">
        <v>309</v>
      </c>
      <c r="AD99">
        <v>9.0999999999999998E-2</v>
      </c>
      <c r="AE99">
        <v>9.0999999999999998E-2</v>
      </c>
      <c r="AF99" t="s">
        <v>309</v>
      </c>
      <c r="AG99" t="s">
        <v>424</v>
      </c>
      <c r="AH99">
        <v>585316.98699999996</v>
      </c>
      <c r="AI99">
        <v>6916726.6519999998</v>
      </c>
      <c r="AJ99">
        <v>1307.184</v>
      </c>
      <c r="AK99">
        <v>1308.704</v>
      </c>
      <c r="AL99">
        <v>1305.664</v>
      </c>
    </row>
    <row r="100" spans="1:38" x14ac:dyDescent="0.3">
      <c r="A100" t="str">
        <f t="shared" si="1"/>
        <v>CH15-106-MW006Phosphorus</v>
      </c>
      <c r="B100">
        <v>1650156</v>
      </c>
      <c r="C100" t="s">
        <v>416</v>
      </c>
      <c r="D100" t="s">
        <v>142</v>
      </c>
      <c r="E100" t="s">
        <v>142</v>
      </c>
      <c r="F100" s="88">
        <v>42523</v>
      </c>
      <c r="G100">
        <v>2.93</v>
      </c>
      <c r="H100">
        <v>5.97</v>
      </c>
      <c r="I100" t="s">
        <v>417</v>
      </c>
      <c r="J100" t="s">
        <v>418</v>
      </c>
      <c r="K100" t="s">
        <v>419</v>
      </c>
      <c r="L100" t="s">
        <v>420</v>
      </c>
      <c r="M100" t="s">
        <v>421</v>
      </c>
      <c r="N100">
        <v>100394548</v>
      </c>
      <c r="O100" t="s">
        <v>456</v>
      </c>
      <c r="P100" t="s">
        <v>13</v>
      </c>
      <c r="Q100">
        <v>0.157</v>
      </c>
      <c r="R100" t="s">
        <v>309</v>
      </c>
      <c r="S100">
        <v>0.02</v>
      </c>
      <c r="T100" t="s">
        <v>145</v>
      </c>
      <c r="U100" t="s">
        <v>145</v>
      </c>
      <c r="X100" t="s">
        <v>237</v>
      </c>
      <c r="Z100">
        <v>0.02</v>
      </c>
      <c r="AA100">
        <v>0.02</v>
      </c>
      <c r="AB100" t="s">
        <v>309</v>
      </c>
      <c r="AD100">
        <v>0.157</v>
      </c>
      <c r="AE100">
        <v>0.157</v>
      </c>
      <c r="AF100" t="s">
        <v>309</v>
      </c>
      <c r="AG100" t="s">
        <v>424</v>
      </c>
      <c r="AH100">
        <v>585316.98699999996</v>
      </c>
      <c r="AI100">
        <v>6916726.6519999998</v>
      </c>
      <c r="AJ100">
        <v>1307.184</v>
      </c>
      <c r="AK100">
        <v>1308.704</v>
      </c>
      <c r="AL100">
        <v>1305.664</v>
      </c>
    </row>
    <row r="101" spans="1:38" x14ac:dyDescent="0.3">
      <c r="A101" t="str">
        <f t="shared" si="1"/>
        <v>CH15-106-MW006Carbon, dissolved organic (DOC)</v>
      </c>
      <c r="B101">
        <v>1650156</v>
      </c>
      <c r="C101" t="s">
        <v>416</v>
      </c>
      <c r="D101" t="s">
        <v>142</v>
      </c>
      <c r="E101" t="s">
        <v>142</v>
      </c>
      <c r="F101" s="88">
        <v>42523</v>
      </c>
      <c r="G101">
        <v>2.93</v>
      </c>
      <c r="H101">
        <v>5.97</v>
      </c>
      <c r="I101" t="s">
        <v>417</v>
      </c>
      <c r="J101" t="s">
        <v>418</v>
      </c>
      <c r="K101" t="s">
        <v>419</v>
      </c>
      <c r="L101" t="s">
        <v>420</v>
      </c>
      <c r="M101" t="s">
        <v>421</v>
      </c>
      <c r="N101">
        <v>100394549</v>
      </c>
      <c r="O101" t="s">
        <v>457</v>
      </c>
      <c r="P101" t="s">
        <v>458</v>
      </c>
      <c r="Q101">
        <v>1.28</v>
      </c>
      <c r="R101" t="s">
        <v>309</v>
      </c>
      <c r="S101">
        <v>0.5</v>
      </c>
      <c r="T101" t="s">
        <v>145</v>
      </c>
      <c r="U101" t="s">
        <v>145</v>
      </c>
      <c r="X101" t="s">
        <v>237</v>
      </c>
      <c r="Z101">
        <v>0.5</v>
      </c>
      <c r="AA101">
        <v>0.5</v>
      </c>
      <c r="AB101" t="s">
        <v>309</v>
      </c>
      <c r="AD101">
        <v>1.28</v>
      </c>
      <c r="AE101">
        <v>1.28</v>
      </c>
      <c r="AF101" t="s">
        <v>309</v>
      </c>
      <c r="AG101" t="s">
        <v>424</v>
      </c>
      <c r="AH101">
        <v>585316.98699999996</v>
      </c>
      <c r="AI101">
        <v>6916726.6519999998</v>
      </c>
      <c r="AJ101">
        <v>1307.184</v>
      </c>
      <c r="AK101">
        <v>1308.704</v>
      </c>
      <c r="AL101">
        <v>1305.664</v>
      </c>
    </row>
    <row r="102" spans="1:38" x14ac:dyDescent="0.3">
      <c r="A102" t="str">
        <f t="shared" si="1"/>
        <v>CH15-106-MW006Alkalinity, Carbonate (as CaCO3)</v>
      </c>
      <c r="B102">
        <v>1650156</v>
      </c>
      <c r="C102" t="s">
        <v>416</v>
      </c>
      <c r="D102" t="s">
        <v>142</v>
      </c>
      <c r="E102" t="s">
        <v>142</v>
      </c>
      <c r="F102" s="88">
        <v>42523</v>
      </c>
      <c r="G102">
        <v>2.93</v>
      </c>
      <c r="H102">
        <v>5.97</v>
      </c>
      <c r="I102" t="s">
        <v>417</v>
      </c>
      <c r="J102" t="s">
        <v>418</v>
      </c>
      <c r="K102" t="s">
        <v>419</v>
      </c>
      <c r="L102" t="s">
        <v>420</v>
      </c>
      <c r="M102" t="s">
        <v>421</v>
      </c>
      <c r="N102">
        <v>100394542</v>
      </c>
      <c r="O102" t="s">
        <v>447</v>
      </c>
      <c r="P102" t="s">
        <v>335</v>
      </c>
      <c r="Q102">
        <v>1</v>
      </c>
      <c r="R102" t="s">
        <v>309</v>
      </c>
      <c r="S102">
        <v>1</v>
      </c>
      <c r="T102" t="s">
        <v>145</v>
      </c>
      <c r="U102" t="s">
        <v>426</v>
      </c>
      <c r="V102" t="s">
        <v>62</v>
      </c>
      <c r="W102" t="s">
        <v>62</v>
      </c>
      <c r="X102" t="s">
        <v>62</v>
      </c>
      <c r="Z102">
        <v>1</v>
      </c>
      <c r="AA102">
        <v>1</v>
      </c>
      <c r="AB102" t="s">
        <v>309</v>
      </c>
      <c r="AD102">
        <v>1</v>
      </c>
      <c r="AE102">
        <v>1</v>
      </c>
      <c r="AF102" t="s">
        <v>309</v>
      </c>
      <c r="AG102" t="s">
        <v>424</v>
      </c>
      <c r="AH102">
        <v>585316.98699999996</v>
      </c>
      <c r="AI102">
        <v>6916726.6519999998</v>
      </c>
      <c r="AJ102">
        <v>1307.184</v>
      </c>
      <c r="AK102">
        <v>1308.704</v>
      </c>
      <c r="AL102">
        <v>1305.664</v>
      </c>
    </row>
    <row r="103" spans="1:38" x14ac:dyDescent="0.3">
      <c r="A103" t="str">
        <f t="shared" si="1"/>
        <v>CH15-106-MW006Alkalinity, Hydroxide (as CaCO3)</v>
      </c>
      <c r="B103">
        <v>1650156</v>
      </c>
      <c r="C103" t="s">
        <v>416</v>
      </c>
      <c r="D103" t="s">
        <v>142</v>
      </c>
      <c r="E103" t="s">
        <v>142</v>
      </c>
      <c r="F103" s="88">
        <v>42523</v>
      </c>
      <c r="G103">
        <v>2.93</v>
      </c>
      <c r="H103">
        <v>5.97</v>
      </c>
      <c r="I103" t="s">
        <v>417</v>
      </c>
      <c r="J103" t="s">
        <v>418</v>
      </c>
      <c r="K103" t="s">
        <v>419</v>
      </c>
      <c r="L103" t="s">
        <v>420</v>
      </c>
      <c r="M103" t="s">
        <v>421</v>
      </c>
      <c r="N103">
        <v>100394542</v>
      </c>
      <c r="O103" t="s">
        <v>448</v>
      </c>
      <c r="P103" t="s">
        <v>336</v>
      </c>
      <c r="Q103">
        <v>1</v>
      </c>
      <c r="R103" t="s">
        <v>309</v>
      </c>
      <c r="S103">
        <v>1</v>
      </c>
      <c r="T103" t="s">
        <v>145</v>
      </c>
      <c r="U103" t="s">
        <v>426</v>
      </c>
      <c r="V103" t="s">
        <v>62</v>
      </c>
      <c r="W103" t="s">
        <v>62</v>
      </c>
      <c r="X103" t="s">
        <v>62</v>
      </c>
      <c r="Z103">
        <v>1</v>
      </c>
      <c r="AA103">
        <v>1</v>
      </c>
      <c r="AB103" t="s">
        <v>309</v>
      </c>
      <c r="AD103">
        <v>1</v>
      </c>
      <c r="AE103">
        <v>1</v>
      </c>
      <c r="AF103" t="s">
        <v>309</v>
      </c>
      <c r="AG103" t="s">
        <v>424</v>
      </c>
      <c r="AH103">
        <v>585316.98699999996</v>
      </c>
      <c r="AI103">
        <v>6916726.6519999998</v>
      </c>
      <c r="AJ103">
        <v>1307.184</v>
      </c>
      <c r="AK103">
        <v>1308.704</v>
      </c>
      <c r="AL103">
        <v>1305.664</v>
      </c>
    </row>
    <row r="104" spans="1:38" x14ac:dyDescent="0.3">
      <c r="A104" t="str">
        <f t="shared" si="1"/>
        <v>CH15-106-MW006Hardness (as CaCO3)</v>
      </c>
      <c r="B104">
        <v>1650156</v>
      </c>
      <c r="C104" t="s">
        <v>416</v>
      </c>
      <c r="D104" t="s">
        <v>142</v>
      </c>
      <c r="E104" t="s">
        <v>142</v>
      </c>
      <c r="F104" s="88">
        <v>42523</v>
      </c>
      <c r="G104">
        <v>2.93</v>
      </c>
      <c r="H104">
        <v>5.97</v>
      </c>
      <c r="I104" t="s">
        <v>417</v>
      </c>
      <c r="J104" t="s">
        <v>418</v>
      </c>
      <c r="K104" t="s">
        <v>419</v>
      </c>
      <c r="L104" t="s">
        <v>420</v>
      </c>
      <c r="M104" t="s">
        <v>421</v>
      </c>
      <c r="N104">
        <v>100394543</v>
      </c>
      <c r="O104" t="s">
        <v>449</v>
      </c>
      <c r="P104" t="s">
        <v>329</v>
      </c>
      <c r="Q104">
        <v>62</v>
      </c>
      <c r="R104" t="s">
        <v>309</v>
      </c>
      <c r="S104">
        <v>0.5</v>
      </c>
      <c r="T104" t="s">
        <v>145</v>
      </c>
      <c r="U104" t="s">
        <v>145</v>
      </c>
      <c r="X104" t="s">
        <v>237</v>
      </c>
      <c r="Z104">
        <v>0.5</v>
      </c>
      <c r="AA104">
        <v>0.5</v>
      </c>
      <c r="AB104" t="s">
        <v>309</v>
      </c>
      <c r="AD104">
        <v>62</v>
      </c>
      <c r="AE104">
        <v>62</v>
      </c>
      <c r="AF104" t="s">
        <v>309</v>
      </c>
      <c r="AG104" t="s">
        <v>424</v>
      </c>
      <c r="AH104">
        <v>585316.98699999996</v>
      </c>
      <c r="AI104">
        <v>6916726.6519999998</v>
      </c>
      <c r="AJ104">
        <v>1307.184</v>
      </c>
      <c r="AK104">
        <v>1308.704</v>
      </c>
      <c r="AL104">
        <v>1305.664</v>
      </c>
    </row>
    <row r="105" spans="1:38" x14ac:dyDescent="0.3">
      <c r="A105" t="str">
        <f t="shared" si="1"/>
        <v>CH15-106-MW006Total dissolved solids</v>
      </c>
      <c r="B105">
        <v>1650156</v>
      </c>
      <c r="C105" t="s">
        <v>416</v>
      </c>
      <c r="D105" t="s">
        <v>142</v>
      </c>
      <c r="E105" t="s">
        <v>142</v>
      </c>
      <c r="F105" s="88">
        <v>42523</v>
      </c>
      <c r="G105">
        <v>2.93</v>
      </c>
      <c r="H105">
        <v>5.97</v>
      </c>
      <c r="I105" t="s">
        <v>417</v>
      </c>
      <c r="J105" t="s">
        <v>418</v>
      </c>
      <c r="K105" t="s">
        <v>419</v>
      </c>
      <c r="L105" t="s">
        <v>420</v>
      </c>
      <c r="M105" t="s">
        <v>421</v>
      </c>
      <c r="N105">
        <v>100394544</v>
      </c>
      <c r="O105" t="s">
        <v>422</v>
      </c>
      <c r="P105" t="s">
        <v>423</v>
      </c>
      <c r="Q105">
        <v>129</v>
      </c>
      <c r="R105" t="s">
        <v>309</v>
      </c>
      <c r="S105">
        <v>13</v>
      </c>
      <c r="T105" t="s">
        <v>145</v>
      </c>
      <c r="U105" t="s">
        <v>145</v>
      </c>
      <c r="X105" t="s">
        <v>237</v>
      </c>
      <c r="Z105">
        <v>13</v>
      </c>
      <c r="AA105">
        <v>13</v>
      </c>
      <c r="AB105" t="s">
        <v>309</v>
      </c>
      <c r="AD105">
        <v>129</v>
      </c>
      <c r="AE105">
        <v>129</v>
      </c>
      <c r="AF105" t="s">
        <v>309</v>
      </c>
      <c r="AG105" t="s">
        <v>424</v>
      </c>
      <c r="AH105">
        <v>585316.98699999996</v>
      </c>
      <c r="AI105">
        <v>6916726.6519999998</v>
      </c>
      <c r="AJ105">
        <v>1307.184</v>
      </c>
      <c r="AK105">
        <v>1308.704</v>
      </c>
      <c r="AL105">
        <v>1305.664</v>
      </c>
    </row>
    <row r="106" spans="1:38" x14ac:dyDescent="0.3">
      <c r="A106" t="str">
        <f t="shared" si="1"/>
        <v>CH15-106-MW006Total Suspended Solids</v>
      </c>
      <c r="B106">
        <v>1650156</v>
      </c>
      <c r="C106" t="s">
        <v>416</v>
      </c>
      <c r="D106" t="s">
        <v>142</v>
      </c>
      <c r="E106" t="s">
        <v>142</v>
      </c>
      <c r="F106" s="88">
        <v>42523</v>
      </c>
      <c r="G106">
        <v>2.93</v>
      </c>
      <c r="H106">
        <v>5.97</v>
      </c>
      <c r="I106" t="s">
        <v>417</v>
      </c>
      <c r="J106" t="s">
        <v>418</v>
      </c>
      <c r="K106" t="s">
        <v>419</v>
      </c>
      <c r="L106" t="s">
        <v>420</v>
      </c>
      <c r="M106" t="s">
        <v>421</v>
      </c>
      <c r="N106">
        <v>100394545</v>
      </c>
      <c r="O106" t="s">
        <v>450</v>
      </c>
      <c r="P106" t="s">
        <v>330</v>
      </c>
      <c r="Q106">
        <v>160</v>
      </c>
      <c r="R106" t="s">
        <v>309</v>
      </c>
      <c r="S106">
        <v>3</v>
      </c>
      <c r="T106" t="s">
        <v>145</v>
      </c>
      <c r="U106" t="s">
        <v>145</v>
      </c>
      <c r="X106" t="s">
        <v>237</v>
      </c>
      <c r="Z106">
        <v>3</v>
      </c>
      <c r="AA106">
        <v>3</v>
      </c>
      <c r="AB106" t="s">
        <v>309</v>
      </c>
      <c r="AD106">
        <v>160</v>
      </c>
      <c r="AE106">
        <v>160</v>
      </c>
      <c r="AF106" t="s">
        <v>309</v>
      </c>
      <c r="AG106" t="s">
        <v>424</v>
      </c>
      <c r="AH106">
        <v>585316.98699999996</v>
      </c>
      <c r="AI106">
        <v>6916726.6519999998</v>
      </c>
      <c r="AJ106">
        <v>1307.184</v>
      </c>
      <c r="AK106">
        <v>1308.704</v>
      </c>
      <c r="AL106">
        <v>1305.664</v>
      </c>
    </row>
    <row r="107" spans="1:38" x14ac:dyDescent="0.3">
      <c r="A107" t="str">
        <f t="shared" si="1"/>
        <v>CH15-106-MW006Nitrate (as N)</v>
      </c>
      <c r="B107">
        <v>1650156</v>
      </c>
      <c r="C107" t="s">
        <v>416</v>
      </c>
      <c r="D107" t="s">
        <v>142</v>
      </c>
      <c r="E107" t="s">
        <v>142</v>
      </c>
      <c r="F107" s="88">
        <v>42523</v>
      </c>
      <c r="G107">
        <v>2.93</v>
      </c>
      <c r="H107">
        <v>5.97</v>
      </c>
      <c r="I107" t="s">
        <v>417</v>
      </c>
      <c r="J107" t="s">
        <v>418</v>
      </c>
      <c r="K107" t="s">
        <v>419</v>
      </c>
      <c r="L107" t="s">
        <v>420</v>
      </c>
      <c r="M107" t="s">
        <v>421</v>
      </c>
      <c r="N107">
        <v>100394546</v>
      </c>
      <c r="O107" t="s">
        <v>451</v>
      </c>
      <c r="P107" t="s">
        <v>341</v>
      </c>
      <c r="Q107">
        <v>0.112</v>
      </c>
      <c r="R107" t="s">
        <v>309</v>
      </c>
      <c r="S107">
        <v>5.0000000000000001E-3</v>
      </c>
      <c r="T107" t="s">
        <v>145</v>
      </c>
      <c r="U107" t="s">
        <v>145</v>
      </c>
      <c r="V107" t="s">
        <v>60</v>
      </c>
      <c r="W107" t="s">
        <v>60</v>
      </c>
      <c r="X107" t="s">
        <v>237</v>
      </c>
      <c r="Z107">
        <v>5.0000000000000001E-3</v>
      </c>
      <c r="AA107">
        <v>5.0000000000000001E-3</v>
      </c>
      <c r="AB107" t="s">
        <v>309</v>
      </c>
      <c r="AD107">
        <v>0.112</v>
      </c>
      <c r="AE107">
        <v>0.112</v>
      </c>
      <c r="AF107" t="s">
        <v>309</v>
      </c>
      <c r="AG107" t="s">
        <v>424</v>
      </c>
      <c r="AH107">
        <v>585316.98699999996</v>
      </c>
      <c r="AI107">
        <v>6916726.6519999998</v>
      </c>
      <c r="AJ107">
        <v>1307.184</v>
      </c>
      <c r="AK107">
        <v>1308.704</v>
      </c>
      <c r="AL107">
        <v>1305.664</v>
      </c>
    </row>
    <row r="108" spans="1:38" x14ac:dyDescent="0.3">
      <c r="A108" t="str">
        <f t="shared" si="1"/>
        <v>CH15-106-MW006Mercury, dissolved</v>
      </c>
      <c r="B108">
        <v>1650156</v>
      </c>
      <c r="C108" t="s">
        <v>416</v>
      </c>
      <c r="D108" t="s">
        <v>142</v>
      </c>
      <c r="E108" t="s">
        <v>142</v>
      </c>
      <c r="F108" s="88">
        <v>42523</v>
      </c>
      <c r="G108">
        <v>2.93</v>
      </c>
      <c r="H108">
        <v>5.97</v>
      </c>
      <c r="I108" t="s">
        <v>417</v>
      </c>
      <c r="J108" t="s">
        <v>418</v>
      </c>
      <c r="K108" t="s">
        <v>419</v>
      </c>
      <c r="L108" t="s">
        <v>437</v>
      </c>
      <c r="M108" t="s">
        <v>421</v>
      </c>
      <c r="N108">
        <v>100394537</v>
      </c>
      <c r="O108" t="s">
        <v>438</v>
      </c>
      <c r="P108" t="s">
        <v>439</v>
      </c>
      <c r="Q108" s="87">
        <v>5.0000000000000004E-6</v>
      </c>
      <c r="R108" t="s">
        <v>309</v>
      </c>
      <c r="S108">
        <v>5.0000000000000004E-6</v>
      </c>
      <c r="T108" t="s">
        <v>145</v>
      </c>
      <c r="U108" t="s">
        <v>426</v>
      </c>
      <c r="V108" t="s">
        <v>62</v>
      </c>
      <c r="W108" t="s">
        <v>62</v>
      </c>
      <c r="X108" t="s">
        <v>62</v>
      </c>
      <c r="Z108">
        <v>5.0000000000000004E-6</v>
      </c>
      <c r="AA108">
        <v>5.0000000000000004E-6</v>
      </c>
      <c r="AB108" t="s">
        <v>309</v>
      </c>
      <c r="AD108">
        <v>5.0000000000000004E-6</v>
      </c>
      <c r="AE108">
        <v>5.0000000000000004E-6</v>
      </c>
      <c r="AF108" t="s">
        <v>309</v>
      </c>
      <c r="AG108" t="s">
        <v>424</v>
      </c>
      <c r="AH108">
        <v>585316.98699999996</v>
      </c>
      <c r="AI108">
        <v>6916726.6519999998</v>
      </c>
      <c r="AJ108">
        <v>1307.184</v>
      </c>
      <c r="AK108">
        <v>1308.704</v>
      </c>
      <c r="AL108">
        <v>1305.664</v>
      </c>
    </row>
    <row r="109" spans="1:38" x14ac:dyDescent="0.3">
      <c r="A109" t="str">
        <f t="shared" si="1"/>
        <v>CH15-106-MW006Ferrous Iron, dissolved</v>
      </c>
      <c r="B109">
        <v>1650156</v>
      </c>
      <c r="C109" t="s">
        <v>416</v>
      </c>
      <c r="D109" t="s">
        <v>142</v>
      </c>
      <c r="E109" t="s">
        <v>142</v>
      </c>
      <c r="F109" s="88">
        <v>42523</v>
      </c>
      <c r="G109">
        <v>2.93</v>
      </c>
      <c r="H109">
        <v>5.97</v>
      </c>
      <c r="I109" t="s">
        <v>417</v>
      </c>
      <c r="J109" t="s">
        <v>418</v>
      </c>
      <c r="K109" t="s">
        <v>419</v>
      </c>
      <c r="L109" t="s">
        <v>437</v>
      </c>
      <c r="M109" t="s">
        <v>421</v>
      </c>
      <c r="N109">
        <v>100394538</v>
      </c>
      <c r="O109" t="s">
        <v>440</v>
      </c>
      <c r="P109" t="s">
        <v>441</v>
      </c>
      <c r="Q109">
        <v>0.16500000000000001</v>
      </c>
      <c r="R109" t="s">
        <v>309</v>
      </c>
      <c r="S109">
        <v>0.02</v>
      </c>
      <c r="T109" t="s">
        <v>145</v>
      </c>
      <c r="U109" t="s">
        <v>145</v>
      </c>
      <c r="X109" t="s">
        <v>237</v>
      </c>
      <c r="Z109">
        <v>0.02</v>
      </c>
      <c r="AA109">
        <v>0.02</v>
      </c>
      <c r="AB109" t="s">
        <v>309</v>
      </c>
      <c r="AD109">
        <v>0.16500000000000001</v>
      </c>
      <c r="AE109">
        <v>0.16500000000000001</v>
      </c>
      <c r="AF109" t="s">
        <v>309</v>
      </c>
      <c r="AG109" t="s">
        <v>424</v>
      </c>
      <c r="AH109">
        <v>585316.98699999996</v>
      </c>
      <c r="AI109">
        <v>6916726.6519999998</v>
      </c>
      <c r="AJ109">
        <v>1307.184</v>
      </c>
      <c r="AK109">
        <v>1308.704</v>
      </c>
      <c r="AL109">
        <v>1305.664</v>
      </c>
    </row>
    <row r="110" spans="1:38" x14ac:dyDescent="0.3">
      <c r="A110" t="str">
        <f t="shared" si="1"/>
        <v>CH15-106-MW006Ammonia</v>
      </c>
      <c r="B110">
        <v>1650156</v>
      </c>
      <c r="C110" t="s">
        <v>416</v>
      </c>
      <c r="D110" t="s">
        <v>142</v>
      </c>
      <c r="E110" t="s">
        <v>142</v>
      </c>
      <c r="F110" s="88">
        <v>42523</v>
      </c>
      <c r="G110">
        <v>2.93</v>
      </c>
      <c r="H110">
        <v>5.97</v>
      </c>
      <c r="I110" t="s">
        <v>417</v>
      </c>
      <c r="J110" t="s">
        <v>418</v>
      </c>
      <c r="K110" t="s">
        <v>419</v>
      </c>
      <c r="L110" t="s">
        <v>420</v>
      </c>
      <c r="M110" t="s">
        <v>421</v>
      </c>
      <c r="N110">
        <v>100394539</v>
      </c>
      <c r="O110" t="s">
        <v>442</v>
      </c>
      <c r="P110" t="s">
        <v>338</v>
      </c>
      <c r="Q110">
        <v>1.9599999999999999E-2</v>
      </c>
      <c r="R110" t="s">
        <v>309</v>
      </c>
      <c r="S110">
        <v>5.0000000000000001E-3</v>
      </c>
      <c r="T110" t="s">
        <v>145</v>
      </c>
      <c r="U110" t="s">
        <v>145</v>
      </c>
      <c r="X110" t="s">
        <v>237</v>
      </c>
      <c r="Z110">
        <v>5.0000000000000001E-3</v>
      </c>
      <c r="AA110">
        <v>5.0000000000000001E-3</v>
      </c>
      <c r="AB110" t="s">
        <v>309</v>
      </c>
      <c r="AD110">
        <v>1.9599999999999999E-2</v>
      </c>
      <c r="AE110">
        <v>1.9599999999999999E-2</v>
      </c>
      <c r="AF110" t="s">
        <v>309</v>
      </c>
      <c r="AG110" t="s">
        <v>424</v>
      </c>
      <c r="AH110">
        <v>585316.98699999996</v>
      </c>
      <c r="AI110">
        <v>6916726.6519999998</v>
      </c>
      <c r="AJ110">
        <v>1307.184</v>
      </c>
      <c r="AK110">
        <v>1308.704</v>
      </c>
      <c r="AL110">
        <v>1305.664</v>
      </c>
    </row>
    <row r="111" spans="1:38" x14ac:dyDescent="0.3">
      <c r="A111" t="str">
        <f t="shared" si="1"/>
        <v>CH15-106-MW006Acidity, hot peroxide</v>
      </c>
      <c r="B111">
        <v>1650156</v>
      </c>
      <c r="C111" t="s">
        <v>416</v>
      </c>
      <c r="D111" t="s">
        <v>142</v>
      </c>
      <c r="E111" t="s">
        <v>142</v>
      </c>
      <c r="F111" s="88">
        <v>42523</v>
      </c>
      <c r="G111">
        <v>2.93</v>
      </c>
      <c r="H111">
        <v>5.97</v>
      </c>
      <c r="I111" t="s">
        <v>417</v>
      </c>
      <c r="J111" t="s">
        <v>418</v>
      </c>
      <c r="K111" t="s">
        <v>419</v>
      </c>
      <c r="L111" t="s">
        <v>420</v>
      </c>
      <c r="M111" t="s">
        <v>421</v>
      </c>
      <c r="N111">
        <v>100394540</v>
      </c>
      <c r="O111" t="s">
        <v>443</v>
      </c>
      <c r="P111" t="s">
        <v>444</v>
      </c>
      <c r="Q111">
        <v>25</v>
      </c>
      <c r="R111" t="s">
        <v>309</v>
      </c>
      <c r="S111">
        <v>25</v>
      </c>
      <c r="T111" t="s">
        <v>145</v>
      </c>
      <c r="U111" t="s">
        <v>426</v>
      </c>
      <c r="V111" t="s">
        <v>62</v>
      </c>
      <c r="W111" t="s">
        <v>62</v>
      </c>
      <c r="X111" t="s">
        <v>62</v>
      </c>
      <c r="Z111">
        <v>25</v>
      </c>
      <c r="AA111">
        <v>25</v>
      </c>
      <c r="AB111" t="s">
        <v>309</v>
      </c>
      <c r="AD111">
        <v>25</v>
      </c>
      <c r="AE111">
        <v>25</v>
      </c>
      <c r="AF111" t="s">
        <v>309</v>
      </c>
      <c r="AG111" t="s">
        <v>424</v>
      </c>
      <c r="AH111">
        <v>585316.98699999996</v>
      </c>
      <c r="AI111">
        <v>6916726.6519999998</v>
      </c>
      <c r="AJ111">
        <v>1307.184</v>
      </c>
      <c r="AK111">
        <v>1308.704</v>
      </c>
      <c r="AL111">
        <v>1305.664</v>
      </c>
    </row>
    <row r="112" spans="1:38" x14ac:dyDescent="0.3">
      <c r="A112" t="str">
        <f t="shared" si="1"/>
        <v>CH15-106-MW006Alkalinity, Total (as CaCO3)</v>
      </c>
      <c r="B112">
        <v>1650156</v>
      </c>
      <c r="C112" t="s">
        <v>416</v>
      </c>
      <c r="D112" t="s">
        <v>142</v>
      </c>
      <c r="E112" t="s">
        <v>142</v>
      </c>
      <c r="F112" s="88">
        <v>42523</v>
      </c>
      <c r="G112">
        <v>2.93</v>
      </c>
      <c r="H112">
        <v>5.97</v>
      </c>
      <c r="I112" t="s">
        <v>417</v>
      </c>
      <c r="J112" t="s">
        <v>418</v>
      </c>
      <c r="K112" t="s">
        <v>419</v>
      </c>
      <c r="L112" t="s">
        <v>420</v>
      </c>
      <c r="M112" t="s">
        <v>421</v>
      </c>
      <c r="N112">
        <v>100394542</v>
      </c>
      <c r="O112" t="s">
        <v>445</v>
      </c>
      <c r="P112" t="s">
        <v>337</v>
      </c>
      <c r="Q112">
        <v>50.1</v>
      </c>
      <c r="R112" t="s">
        <v>309</v>
      </c>
      <c r="S112">
        <v>1</v>
      </c>
      <c r="T112" t="s">
        <v>145</v>
      </c>
      <c r="U112" t="s">
        <v>145</v>
      </c>
      <c r="X112" t="s">
        <v>237</v>
      </c>
      <c r="Z112">
        <v>1</v>
      </c>
      <c r="AA112">
        <v>1</v>
      </c>
      <c r="AB112" t="s">
        <v>309</v>
      </c>
      <c r="AD112">
        <v>50.1</v>
      </c>
      <c r="AE112">
        <v>50.1</v>
      </c>
      <c r="AF112" t="s">
        <v>309</v>
      </c>
      <c r="AG112" t="s">
        <v>424</v>
      </c>
      <c r="AH112">
        <v>585316.98699999996</v>
      </c>
      <c r="AI112">
        <v>6916726.6519999998</v>
      </c>
      <c r="AJ112">
        <v>1307.184</v>
      </c>
      <c r="AK112">
        <v>1308.704</v>
      </c>
      <c r="AL112">
        <v>1305.664</v>
      </c>
    </row>
    <row r="113" spans="1:38" x14ac:dyDescent="0.3">
      <c r="A113" t="str">
        <f t="shared" si="1"/>
        <v>CH15-106-MW006Alkalinity, Bicarbonate (as CaCO3)</v>
      </c>
      <c r="B113">
        <v>1650156</v>
      </c>
      <c r="C113" t="s">
        <v>416</v>
      </c>
      <c r="D113" t="s">
        <v>142</v>
      </c>
      <c r="E113" t="s">
        <v>142</v>
      </c>
      <c r="F113" s="88">
        <v>42523</v>
      </c>
      <c r="G113">
        <v>2.93</v>
      </c>
      <c r="H113">
        <v>5.97</v>
      </c>
      <c r="I113" t="s">
        <v>417</v>
      </c>
      <c r="J113" t="s">
        <v>418</v>
      </c>
      <c r="K113" t="s">
        <v>419</v>
      </c>
      <c r="L113" t="s">
        <v>420</v>
      </c>
      <c r="M113" t="s">
        <v>421</v>
      </c>
      <c r="N113">
        <v>100394542</v>
      </c>
      <c r="O113" t="s">
        <v>446</v>
      </c>
      <c r="P113" t="s">
        <v>334</v>
      </c>
      <c r="Q113">
        <v>50.1</v>
      </c>
      <c r="R113" t="s">
        <v>309</v>
      </c>
      <c r="S113">
        <v>1</v>
      </c>
      <c r="T113" t="s">
        <v>145</v>
      </c>
      <c r="U113" t="s">
        <v>145</v>
      </c>
      <c r="X113" t="s">
        <v>237</v>
      </c>
      <c r="Z113">
        <v>1</v>
      </c>
      <c r="AA113">
        <v>1</v>
      </c>
      <c r="AB113" t="s">
        <v>309</v>
      </c>
      <c r="AD113">
        <v>50.1</v>
      </c>
      <c r="AE113">
        <v>50.1</v>
      </c>
      <c r="AF113" t="s">
        <v>309</v>
      </c>
      <c r="AG113" t="s">
        <v>424</v>
      </c>
      <c r="AH113">
        <v>585316.98699999996</v>
      </c>
      <c r="AI113">
        <v>6916726.6519999998</v>
      </c>
      <c r="AJ113">
        <v>1307.184</v>
      </c>
      <c r="AK113">
        <v>1308.704</v>
      </c>
      <c r="AL113">
        <v>1305.664</v>
      </c>
    </row>
    <row r="114" spans="1:38" x14ac:dyDescent="0.3">
      <c r="A114" t="str">
        <f t="shared" si="1"/>
        <v>CH15-106-MW008Conductivity, Field</v>
      </c>
      <c r="B114">
        <v>1650156</v>
      </c>
      <c r="C114" t="s">
        <v>416</v>
      </c>
      <c r="D114" t="s">
        <v>136</v>
      </c>
      <c r="E114" t="s">
        <v>136</v>
      </c>
      <c r="F114" s="88">
        <v>42528</v>
      </c>
      <c r="G114">
        <v>-999</v>
      </c>
      <c r="H114">
        <v>-999</v>
      </c>
      <c r="I114" t="s">
        <v>417</v>
      </c>
      <c r="J114" t="s">
        <v>418</v>
      </c>
      <c r="K114" t="s">
        <v>426</v>
      </c>
      <c r="N114">
        <v>100365177</v>
      </c>
      <c r="O114" t="s">
        <v>427</v>
      </c>
      <c r="P114" t="s">
        <v>428</v>
      </c>
      <c r="Q114">
        <v>0.247</v>
      </c>
      <c r="R114" t="s">
        <v>307</v>
      </c>
      <c r="T114" t="s">
        <v>145</v>
      </c>
      <c r="U114" t="s">
        <v>145</v>
      </c>
      <c r="AD114">
        <v>0.247</v>
      </c>
      <c r="AE114">
        <v>0.247</v>
      </c>
      <c r="AF114" t="s">
        <v>307</v>
      </c>
      <c r="AG114" t="s">
        <v>424</v>
      </c>
      <c r="AH114">
        <v>585078.80099999998</v>
      </c>
      <c r="AI114">
        <v>6916111.6880000001</v>
      </c>
      <c r="AJ114">
        <v>2293.0650000000001</v>
      </c>
      <c r="AK114">
        <v>2293.0650000000001</v>
      </c>
      <c r="AL114">
        <v>2293.0650000000001</v>
      </c>
    </row>
    <row r="115" spans="1:38" x14ac:dyDescent="0.3">
      <c r="A115" t="str">
        <f t="shared" si="1"/>
        <v>CH15-106-MW008Dissolved Oxygen, Field</v>
      </c>
      <c r="B115">
        <v>1650156</v>
      </c>
      <c r="C115" t="s">
        <v>416</v>
      </c>
      <c r="D115" t="s">
        <v>136</v>
      </c>
      <c r="E115" t="s">
        <v>136</v>
      </c>
      <c r="F115" s="88">
        <v>42528</v>
      </c>
      <c r="G115">
        <v>-999</v>
      </c>
      <c r="H115">
        <v>-999</v>
      </c>
      <c r="I115" t="s">
        <v>417</v>
      </c>
      <c r="J115" t="s">
        <v>418</v>
      </c>
      <c r="K115" t="s">
        <v>426</v>
      </c>
      <c r="N115">
        <v>100365177</v>
      </c>
      <c r="O115" t="s">
        <v>429</v>
      </c>
      <c r="P115" t="s">
        <v>430</v>
      </c>
      <c r="Q115">
        <v>6.03</v>
      </c>
      <c r="R115" t="s">
        <v>309</v>
      </c>
      <c r="T115" t="s">
        <v>145</v>
      </c>
      <c r="U115" t="s">
        <v>145</v>
      </c>
      <c r="AD115">
        <v>6.03</v>
      </c>
      <c r="AE115">
        <v>6.03</v>
      </c>
      <c r="AF115" t="s">
        <v>309</v>
      </c>
      <c r="AG115" t="s">
        <v>424</v>
      </c>
      <c r="AH115">
        <v>585078.80099999998</v>
      </c>
      <c r="AI115">
        <v>6916111.6880000001</v>
      </c>
      <c r="AJ115">
        <v>2293.0650000000001</v>
      </c>
      <c r="AK115">
        <v>2293.0650000000001</v>
      </c>
      <c r="AL115">
        <v>2293.0650000000001</v>
      </c>
    </row>
    <row r="116" spans="1:38" x14ac:dyDescent="0.3">
      <c r="A116" t="str">
        <f t="shared" si="1"/>
        <v>CH15-106-MW008Oxidation Reduction Potential, Field</v>
      </c>
      <c r="B116">
        <v>1650156</v>
      </c>
      <c r="C116" t="s">
        <v>416</v>
      </c>
      <c r="D116" t="s">
        <v>136</v>
      </c>
      <c r="E116" t="s">
        <v>136</v>
      </c>
      <c r="F116" s="88">
        <v>42528</v>
      </c>
      <c r="G116">
        <v>-999</v>
      </c>
      <c r="H116">
        <v>-999</v>
      </c>
      <c r="I116" t="s">
        <v>417</v>
      </c>
      <c r="J116" t="s">
        <v>418</v>
      </c>
      <c r="K116" t="s">
        <v>426</v>
      </c>
      <c r="N116">
        <v>100365177</v>
      </c>
      <c r="O116" t="s">
        <v>431</v>
      </c>
      <c r="P116" t="s">
        <v>432</v>
      </c>
      <c r="Q116">
        <v>95.7</v>
      </c>
      <c r="R116" t="s">
        <v>311</v>
      </c>
      <c r="T116" t="s">
        <v>145</v>
      </c>
      <c r="U116" t="s">
        <v>145</v>
      </c>
      <c r="AD116">
        <v>95.7</v>
      </c>
      <c r="AE116">
        <v>95.7</v>
      </c>
      <c r="AF116" t="s">
        <v>311</v>
      </c>
      <c r="AG116" t="s">
        <v>424</v>
      </c>
      <c r="AH116">
        <v>585078.80099999998</v>
      </c>
      <c r="AI116">
        <v>6916111.6880000001</v>
      </c>
      <c r="AJ116">
        <v>2293.0650000000001</v>
      </c>
      <c r="AK116">
        <v>2293.0650000000001</v>
      </c>
      <c r="AL116">
        <v>2293.0650000000001</v>
      </c>
    </row>
    <row r="117" spans="1:38" x14ac:dyDescent="0.3">
      <c r="A117" t="str">
        <f t="shared" si="1"/>
        <v>CH15-106-MW008pH, Field</v>
      </c>
      <c r="B117">
        <v>1650156</v>
      </c>
      <c r="C117" t="s">
        <v>416</v>
      </c>
      <c r="D117" t="s">
        <v>136</v>
      </c>
      <c r="E117" t="s">
        <v>136</v>
      </c>
      <c r="F117" s="88">
        <v>42528</v>
      </c>
      <c r="G117">
        <v>-999</v>
      </c>
      <c r="H117">
        <v>-999</v>
      </c>
      <c r="I117" t="s">
        <v>417</v>
      </c>
      <c r="J117" t="s">
        <v>418</v>
      </c>
      <c r="K117" t="s">
        <v>426</v>
      </c>
      <c r="N117">
        <v>100365177</v>
      </c>
      <c r="O117" t="s">
        <v>433</v>
      </c>
      <c r="P117" t="s">
        <v>326</v>
      </c>
      <c r="Q117">
        <v>7.1</v>
      </c>
      <c r="R117" t="s">
        <v>313</v>
      </c>
      <c r="T117" t="s">
        <v>145</v>
      </c>
      <c r="U117" t="s">
        <v>145</v>
      </c>
      <c r="AD117">
        <v>7.1</v>
      </c>
      <c r="AE117">
        <v>7.1</v>
      </c>
      <c r="AF117" t="s">
        <v>313</v>
      </c>
      <c r="AG117" t="s">
        <v>424</v>
      </c>
      <c r="AH117">
        <v>585078.80099999998</v>
      </c>
      <c r="AI117">
        <v>6916111.6880000001</v>
      </c>
      <c r="AJ117">
        <v>2293.0650000000001</v>
      </c>
      <c r="AK117">
        <v>2293.0650000000001</v>
      </c>
      <c r="AL117">
        <v>2293.0650000000001</v>
      </c>
    </row>
    <row r="118" spans="1:38" x14ac:dyDescent="0.3">
      <c r="A118" t="str">
        <f t="shared" si="1"/>
        <v>CH15-106-MW008Temperature, Field</v>
      </c>
      <c r="B118">
        <v>1650156</v>
      </c>
      <c r="C118" t="s">
        <v>416</v>
      </c>
      <c r="D118" t="s">
        <v>136</v>
      </c>
      <c r="E118" t="s">
        <v>136</v>
      </c>
      <c r="F118" s="88">
        <v>42528</v>
      </c>
      <c r="G118">
        <v>-999</v>
      </c>
      <c r="H118">
        <v>-999</v>
      </c>
      <c r="I118" t="s">
        <v>417</v>
      </c>
      <c r="J118" t="s">
        <v>418</v>
      </c>
      <c r="K118" t="s">
        <v>426</v>
      </c>
      <c r="N118">
        <v>100365177</v>
      </c>
      <c r="O118" t="s">
        <v>434</v>
      </c>
      <c r="P118" t="s">
        <v>328</v>
      </c>
      <c r="Q118">
        <v>3.6</v>
      </c>
      <c r="R118" t="s">
        <v>315</v>
      </c>
      <c r="T118" t="s">
        <v>145</v>
      </c>
      <c r="U118" t="s">
        <v>145</v>
      </c>
      <c r="AD118">
        <v>3.6</v>
      </c>
      <c r="AE118">
        <v>3.6</v>
      </c>
      <c r="AF118" t="s">
        <v>315</v>
      </c>
      <c r="AG118" t="s">
        <v>424</v>
      </c>
      <c r="AH118">
        <v>585078.80099999998</v>
      </c>
      <c r="AI118">
        <v>6916111.6880000001</v>
      </c>
      <c r="AJ118">
        <v>2293.0650000000001</v>
      </c>
      <c r="AK118">
        <v>2293.0650000000001</v>
      </c>
      <c r="AL118">
        <v>2293.0650000000001</v>
      </c>
    </row>
    <row r="119" spans="1:38" x14ac:dyDescent="0.3">
      <c r="A119" t="str">
        <f t="shared" si="1"/>
        <v>CH15-106-MW008Turbidity, Field</v>
      </c>
      <c r="B119">
        <v>1650156</v>
      </c>
      <c r="C119" t="s">
        <v>416</v>
      </c>
      <c r="D119" t="s">
        <v>136</v>
      </c>
      <c r="E119" t="s">
        <v>136</v>
      </c>
      <c r="F119" s="88">
        <v>42528</v>
      </c>
      <c r="G119">
        <v>-999</v>
      </c>
      <c r="H119">
        <v>-999</v>
      </c>
      <c r="I119" t="s">
        <v>417</v>
      </c>
      <c r="J119" t="s">
        <v>418</v>
      </c>
      <c r="K119" t="s">
        <v>426</v>
      </c>
      <c r="N119">
        <v>100365177</v>
      </c>
      <c r="O119" t="s">
        <v>435</v>
      </c>
      <c r="P119" t="s">
        <v>436</v>
      </c>
      <c r="Q119">
        <v>18.8</v>
      </c>
      <c r="R119" t="s">
        <v>317</v>
      </c>
      <c r="T119" t="s">
        <v>145</v>
      </c>
      <c r="U119" t="s">
        <v>145</v>
      </c>
      <c r="AD119">
        <v>18.8</v>
      </c>
      <c r="AE119">
        <v>18.8</v>
      </c>
      <c r="AF119" t="s">
        <v>317</v>
      </c>
      <c r="AG119" t="s">
        <v>424</v>
      </c>
      <c r="AH119">
        <v>585078.80099999998</v>
      </c>
      <c r="AI119">
        <v>6916111.6880000001</v>
      </c>
      <c r="AJ119">
        <v>2293.0650000000001</v>
      </c>
      <c r="AK119">
        <v>2293.0650000000001</v>
      </c>
      <c r="AL119">
        <v>2293.0650000000001</v>
      </c>
    </row>
    <row r="120" spans="1:38" x14ac:dyDescent="0.3">
      <c r="A120" t="str">
        <f t="shared" si="1"/>
        <v>CH15-106-MW008Mercury, dissolved</v>
      </c>
      <c r="B120">
        <v>1650156</v>
      </c>
      <c r="C120" t="s">
        <v>416</v>
      </c>
      <c r="D120" t="s">
        <v>136</v>
      </c>
      <c r="E120" t="s">
        <v>136</v>
      </c>
      <c r="F120" s="88">
        <v>42528</v>
      </c>
      <c r="G120">
        <v>7.32</v>
      </c>
      <c r="H120">
        <v>10.36</v>
      </c>
      <c r="I120" t="s">
        <v>417</v>
      </c>
      <c r="J120" t="s">
        <v>418</v>
      </c>
      <c r="K120" t="s">
        <v>419</v>
      </c>
      <c r="L120" t="s">
        <v>437</v>
      </c>
      <c r="M120" t="s">
        <v>425</v>
      </c>
      <c r="N120">
        <v>100394556</v>
      </c>
      <c r="O120" t="s">
        <v>438</v>
      </c>
      <c r="P120" t="s">
        <v>439</v>
      </c>
      <c r="Q120" s="87">
        <v>5.0000000000000004E-6</v>
      </c>
      <c r="R120" t="s">
        <v>309</v>
      </c>
      <c r="S120">
        <v>5.0000000000000004E-6</v>
      </c>
      <c r="T120" t="s">
        <v>145</v>
      </c>
      <c r="U120" t="s">
        <v>426</v>
      </c>
      <c r="V120" t="s">
        <v>62</v>
      </c>
      <c r="W120" t="s">
        <v>62</v>
      </c>
      <c r="X120" t="s">
        <v>62</v>
      </c>
      <c r="Z120">
        <v>5.0000000000000004E-6</v>
      </c>
      <c r="AA120">
        <v>5.0000000000000004E-6</v>
      </c>
      <c r="AB120" t="s">
        <v>309</v>
      </c>
      <c r="AD120">
        <v>5.0000000000000004E-6</v>
      </c>
      <c r="AE120">
        <v>5.0000000000000004E-6</v>
      </c>
      <c r="AF120" t="s">
        <v>309</v>
      </c>
      <c r="AG120" t="s">
        <v>424</v>
      </c>
      <c r="AH120">
        <v>585078.80099999998</v>
      </c>
      <c r="AI120">
        <v>6916111.6880000001</v>
      </c>
      <c r="AJ120">
        <v>1285.2249999999999</v>
      </c>
      <c r="AK120">
        <v>1286.7449999999999</v>
      </c>
      <c r="AL120">
        <v>1283.7049999999999</v>
      </c>
    </row>
    <row r="121" spans="1:38" x14ac:dyDescent="0.3">
      <c r="A121" t="str">
        <f t="shared" si="1"/>
        <v>CH15-106-MW008Ferrous Iron, dissolved</v>
      </c>
      <c r="B121">
        <v>1650156</v>
      </c>
      <c r="C121" t="s">
        <v>416</v>
      </c>
      <c r="D121" t="s">
        <v>136</v>
      </c>
      <c r="E121" t="s">
        <v>136</v>
      </c>
      <c r="F121" s="88">
        <v>42528</v>
      </c>
      <c r="G121">
        <v>7.32</v>
      </c>
      <c r="H121">
        <v>10.36</v>
      </c>
      <c r="I121" t="s">
        <v>417</v>
      </c>
      <c r="J121" t="s">
        <v>418</v>
      </c>
      <c r="K121" t="s">
        <v>419</v>
      </c>
      <c r="L121" t="s">
        <v>437</v>
      </c>
      <c r="M121" t="s">
        <v>425</v>
      </c>
      <c r="N121">
        <v>100394557</v>
      </c>
      <c r="O121" t="s">
        <v>440</v>
      </c>
      <c r="P121" t="s">
        <v>441</v>
      </c>
      <c r="Q121">
        <v>0.02</v>
      </c>
      <c r="R121" t="s">
        <v>309</v>
      </c>
      <c r="S121">
        <v>0.02</v>
      </c>
      <c r="T121" t="s">
        <v>145</v>
      </c>
      <c r="U121" t="s">
        <v>426</v>
      </c>
      <c r="V121" t="s">
        <v>62</v>
      </c>
      <c r="W121" t="s">
        <v>62</v>
      </c>
      <c r="X121" t="s">
        <v>62</v>
      </c>
      <c r="Z121">
        <v>0.02</v>
      </c>
      <c r="AA121">
        <v>0.02</v>
      </c>
      <c r="AB121" t="s">
        <v>309</v>
      </c>
      <c r="AD121">
        <v>0.02</v>
      </c>
      <c r="AE121">
        <v>0.02</v>
      </c>
      <c r="AF121" t="s">
        <v>309</v>
      </c>
      <c r="AG121" t="s">
        <v>424</v>
      </c>
      <c r="AH121">
        <v>585078.80099999998</v>
      </c>
      <c r="AI121">
        <v>6916111.6880000001</v>
      </c>
      <c r="AJ121">
        <v>1285.2249999999999</v>
      </c>
      <c r="AK121">
        <v>1286.7449999999999</v>
      </c>
      <c r="AL121">
        <v>1283.7049999999999</v>
      </c>
    </row>
    <row r="122" spans="1:38" x14ac:dyDescent="0.3">
      <c r="A122" t="str">
        <f t="shared" si="1"/>
        <v>CH15-106-MW008Ammonia</v>
      </c>
      <c r="B122">
        <v>1650156</v>
      </c>
      <c r="C122" t="s">
        <v>416</v>
      </c>
      <c r="D122" t="s">
        <v>136</v>
      </c>
      <c r="E122" t="s">
        <v>136</v>
      </c>
      <c r="F122" s="88">
        <v>42528</v>
      </c>
      <c r="G122">
        <v>7.32</v>
      </c>
      <c r="H122">
        <v>10.36</v>
      </c>
      <c r="I122" t="s">
        <v>417</v>
      </c>
      <c r="J122" t="s">
        <v>418</v>
      </c>
      <c r="K122" t="s">
        <v>419</v>
      </c>
      <c r="L122" t="s">
        <v>420</v>
      </c>
      <c r="M122" t="s">
        <v>425</v>
      </c>
      <c r="N122">
        <v>100394558</v>
      </c>
      <c r="O122" t="s">
        <v>442</v>
      </c>
      <c r="P122" t="s">
        <v>338</v>
      </c>
      <c r="Q122">
        <v>5.0000000000000001E-3</v>
      </c>
      <c r="R122" t="s">
        <v>309</v>
      </c>
      <c r="S122">
        <v>5.0000000000000001E-3</v>
      </c>
      <c r="T122" t="s">
        <v>145</v>
      </c>
      <c r="U122" t="s">
        <v>426</v>
      </c>
      <c r="V122" t="s">
        <v>62</v>
      </c>
      <c r="W122" t="s">
        <v>62</v>
      </c>
      <c r="X122" t="s">
        <v>62</v>
      </c>
      <c r="Z122">
        <v>5.0000000000000001E-3</v>
      </c>
      <c r="AA122">
        <v>5.0000000000000001E-3</v>
      </c>
      <c r="AB122" t="s">
        <v>309</v>
      </c>
      <c r="AD122">
        <v>5.0000000000000001E-3</v>
      </c>
      <c r="AE122">
        <v>5.0000000000000001E-3</v>
      </c>
      <c r="AF122" t="s">
        <v>309</v>
      </c>
      <c r="AG122" t="s">
        <v>424</v>
      </c>
      <c r="AH122">
        <v>585078.80099999998</v>
      </c>
      <c r="AI122">
        <v>6916111.6880000001</v>
      </c>
      <c r="AJ122">
        <v>1285.2249999999999</v>
      </c>
      <c r="AK122">
        <v>1286.7449999999999</v>
      </c>
      <c r="AL122">
        <v>1283.7049999999999</v>
      </c>
    </row>
    <row r="123" spans="1:38" x14ac:dyDescent="0.3">
      <c r="A123" t="str">
        <f t="shared" si="1"/>
        <v>CH15-106-MW008Acidity, hot peroxide</v>
      </c>
      <c r="B123">
        <v>1650156</v>
      </c>
      <c r="C123" t="s">
        <v>416</v>
      </c>
      <c r="D123" t="s">
        <v>136</v>
      </c>
      <c r="E123" t="s">
        <v>136</v>
      </c>
      <c r="F123" s="88">
        <v>42528</v>
      </c>
      <c r="G123">
        <v>7.32</v>
      </c>
      <c r="H123">
        <v>10.36</v>
      </c>
      <c r="I123" t="s">
        <v>417</v>
      </c>
      <c r="J123" t="s">
        <v>418</v>
      </c>
      <c r="K123" t="s">
        <v>419</v>
      </c>
      <c r="L123" t="s">
        <v>420</v>
      </c>
      <c r="M123" t="s">
        <v>425</v>
      </c>
      <c r="N123">
        <v>100394559</v>
      </c>
      <c r="O123" t="s">
        <v>443</v>
      </c>
      <c r="P123" t="s">
        <v>444</v>
      </c>
      <c r="Q123">
        <v>25</v>
      </c>
      <c r="R123" t="s">
        <v>309</v>
      </c>
      <c r="S123">
        <v>25</v>
      </c>
      <c r="T123" t="s">
        <v>145</v>
      </c>
      <c r="U123" t="s">
        <v>426</v>
      </c>
      <c r="V123" t="s">
        <v>62</v>
      </c>
      <c r="W123" t="s">
        <v>62</v>
      </c>
      <c r="X123" t="s">
        <v>62</v>
      </c>
      <c r="Z123">
        <v>25</v>
      </c>
      <c r="AA123">
        <v>25</v>
      </c>
      <c r="AB123" t="s">
        <v>309</v>
      </c>
      <c r="AD123">
        <v>25</v>
      </c>
      <c r="AE123">
        <v>25</v>
      </c>
      <c r="AF123" t="s">
        <v>309</v>
      </c>
      <c r="AG123" t="s">
        <v>424</v>
      </c>
      <c r="AH123">
        <v>585078.80099999998</v>
      </c>
      <c r="AI123">
        <v>6916111.6880000001</v>
      </c>
      <c r="AJ123">
        <v>1285.2249999999999</v>
      </c>
      <c r="AK123">
        <v>1286.7449999999999</v>
      </c>
      <c r="AL123">
        <v>1283.7049999999999</v>
      </c>
    </row>
    <row r="124" spans="1:38" x14ac:dyDescent="0.3">
      <c r="A124" t="str">
        <f t="shared" si="1"/>
        <v>CH15-106-MW008Alkalinity, Total (as CaCO3)</v>
      </c>
      <c r="B124">
        <v>1650156</v>
      </c>
      <c r="C124" t="s">
        <v>416</v>
      </c>
      <c r="D124" t="s">
        <v>136</v>
      </c>
      <c r="E124" t="s">
        <v>136</v>
      </c>
      <c r="F124" s="88">
        <v>42528</v>
      </c>
      <c r="G124">
        <v>7.32</v>
      </c>
      <c r="H124">
        <v>10.36</v>
      </c>
      <c r="I124" t="s">
        <v>417</v>
      </c>
      <c r="J124" t="s">
        <v>418</v>
      </c>
      <c r="K124" t="s">
        <v>419</v>
      </c>
      <c r="L124" t="s">
        <v>420</v>
      </c>
      <c r="M124" t="s">
        <v>425</v>
      </c>
      <c r="N124">
        <v>100394561</v>
      </c>
      <c r="O124" t="s">
        <v>445</v>
      </c>
      <c r="P124" t="s">
        <v>337</v>
      </c>
      <c r="Q124">
        <v>79.8</v>
      </c>
      <c r="R124" t="s">
        <v>309</v>
      </c>
      <c r="S124">
        <v>1</v>
      </c>
      <c r="T124" t="s">
        <v>145</v>
      </c>
      <c r="U124" t="s">
        <v>145</v>
      </c>
      <c r="X124" t="s">
        <v>237</v>
      </c>
      <c r="Z124">
        <v>1</v>
      </c>
      <c r="AA124">
        <v>1</v>
      </c>
      <c r="AB124" t="s">
        <v>309</v>
      </c>
      <c r="AD124">
        <v>79.8</v>
      </c>
      <c r="AE124">
        <v>79.8</v>
      </c>
      <c r="AF124" t="s">
        <v>309</v>
      </c>
      <c r="AG124" t="s">
        <v>424</v>
      </c>
      <c r="AH124">
        <v>585078.80099999998</v>
      </c>
      <c r="AI124">
        <v>6916111.6880000001</v>
      </c>
      <c r="AJ124">
        <v>1285.2249999999999</v>
      </c>
      <c r="AK124">
        <v>1286.7449999999999</v>
      </c>
      <c r="AL124">
        <v>1283.7049999999999</v>
      </c>
    </row>
    <row r="125" spans="1:38" x14ac:dyDescent="0.3">
      <c r="A125" t="str">
        <f t="shared" si="1"/>
        <v>CH15-106-MW008Alkalinity, Bicarbonate (as CaCO3)</v>
      </c>
      <c r="B125">
        <v>1650156</v>
      </c>
      <c r="C125" t="s">
        <v>416</v>
      </c>
      <c r="D125" t="s">
        <v>136</v>
      </c>
      <c r="E125" t="s">
        <v>136</v>
      </c>
      <c r="F125" s="88">
        <v>42528</v>
      </c>
      <c r="G125">
        <v>7.32</v>
      </c>
      <c r="H125">
        <v>10.36</v>
      </c>
      <c r="I125" t="s">
        <v>417</v>
      </c>
      <c r="J125" t="s">
        <v>418</v>
      </c>
      <c r="K125" t="s">
        <v>419</v>
      </c>
      <c r="L125" t="s">
        <v>420</v>
      </c>
      <c r="M125" t="s">
        <v>425</v>
      </c>
      <c r="N125">
        <v>100394561</v>
      </c>
      <c r="O125" t="s">
        <v>446</v>
      </c>
      <c r="P125" t="s">
        <v>334</v>
      </c>
      <c r="Q125">
        <v>79.8</v>
      </c>
      <c r="R125" t="s">
        <v>309</v>
      </c>
      <c r="S125">
        <v>1</v>
      </c>
      <c r="T125" t="s">
        <v>145</v>
      </c>
      <c r="U125" t="s">
        <v>145</v>
      </c>
      <c r="X125" t="s">
        <v>237</v>
      </c>
      <c r="Z125">
        <v>1</v>
      </c>
      <c r="AA125">
        <v>1</v>
      </c>
      <c r="AB125" t="s">
        <v>309</v>
      </c>
      <c r="AD125">
        <v>79.8</v>
      </c>
      <c r="AE125">
        <v>79.8</v>
      </c>
      <c r="AF125" t="s">
        <v>309</v>
      </c>
      <c r="AG125" t="s">
        <v>424</v>
      </c>
      <c r="AH125">
        <v>585078.80099999998</v>
      </c>
      <c r="AI125">
        <v>6916111.6880000001</v>
      </c>
      <c r="AJ125">
        <v>1285.2249999999999</v>
      </c>
      <c r="AK125">
        <v>1286.7449999999999</v>
      </c>
      <c r="AL125">
        <v>1283.7049999999999</v>
      </c>
    </row>
    <row r="126" spans="1:38" x14ac:dyDescent="0.3">
      <c r="A126" t="str">
        <f t="shared" si="1"/>
        <v>CH15-106-MW008Alkalinity, Carbonate (as CaCO3)</v>
      </c>
      <c r="B126">
        <v>1650156</v>
      </c>
      <c r="C126" t="s">
        <v>416</v>
      </c>
      <c r="D126" t="s">
        <v>136</v>
      </c>
      <c r="E126" t="s">
        <v>136</v>
      </c>
      <c r="F126" s="88">
        <v>42528</v>
      </c>
      <c r="G126">
        <v>7.32</v>
      </c>
      <c r="H126">
        <v>10.36</v>
      </c>
      <c r="I126" t="s">
        <v>417</v>
      </c>
      <c r="J126" t="s">
        <v>418</v>
      </c>
      <c r="K126" t="s">
        <v>419</v>
      </c>
      <c r="L126" t="s">
        <v>420</v>
      </c>
      <c r="M126" t="s">
        <v>425</v>
      </c>
      <c r="N126">
        <v>100394561</v>
      </c>
      <c r="O126" t="s">
        <v>447</v>
      </c>
      <c r="P126" t="s">
        <v>335</v>
      </c>
      <c r="Q126">
        <v>1</v>
      </c>
      <c r="R126" t="s">
        <v>309</v>
      </c>
      <c r="S126">
        <v>1</v>
      </c>
      <c r="T126" t="s">
        <v>145</v>
      </c>
      <c r="U126" t="s">
        <v>426</v>
      </c>
      <c r="V126" t="s">
        <v>62</v>
      </c>
      <c r="W126" t="s">
        <v>62</v>
      </c>
      <c r="X126" t="s">
        <v>62</v>
      </c>
      <c r="Z126">
        <v>1</v>
      </c>
      <c r="AA126">
        <v>1</v>
      </c>
      <c r="AB126" t="s">
        <v>309</v>
      </c>
      <c r="AD126">
        <v>1</v>
      </c>
      <c r="AE126">
        <v>1</v>
      </c>
      <c r="AF126" t="s">
        <v>309</v>
      </c>
      <c r="AG126" t="s">
        <v>424</v>
      </c>
      <c r="AH126">
        <v>585078.80099999998</v>
      </c>
      <c r="AI126">
        <v>6916111.6880000001</v>
      </c>
      <c r="AJ126">
        <v>1285.2249999999999</v>
      </c>
      <c r="AK126">
        <v>1286.7449999999999</v>
      </c>
      <c r="AL126">
        <v>1283.7049999999999</v>
      </c>
    </row>
    <row r="127" spans="1:38" x14ac:dyDescent="0.3">
      <c r="A127" t="str">
        <f t="shared" si="1"/>
        <v>CH15-106-MW008Alkalinity, Hydroxide (as CaCO3)</v>
      </c>
      <c r="B127">
        <v>1650156</v>
      </c>
      <c r="C127" t="s">
        <v>416</v>
      </c>
      <c r="D127" t="s">
        <v>136</v>
      </c>
      <c r="E127" t="s">
        <v>136</v>
      </c>
      <c r="F127" s="88">
        <v>42528</v>
      </c>
      <c r="G127">
        <v>7.32</v>
      </c>
      <c r="H127">
        <v>10.36</v>
      </c>
      <c r="I127" t="s">
        <v>417</v>
      </c>
      <c r="J127" t="s">
        <v>418</v>
      </c>
      <c r="K127" t="s">
        <v>419</v>
      </c>
      <c r="L127" t="s">
        <v>420</v>
      </c>
      <c r="M127" t="s">
        <v>425</v>
      </c>
      <c r="N127">
        <v>100394561</v>
      </c>
      <c r="O127" t="s">
        <v>448</v>
      </c>
      <c r="P127" t="s">
        <v>336</v>
      </c>
      <c r="Q127">
        <v>1</v>
      </c>
      <c r="R127" t="s">
        <v>309</v>
      </c>
      <c r="S127">
        <v>1</v>
      </c>
      <c r="T127" t="s">
        <v>145</v>
      </c>
      <c r="U127" t="s">
        <v>426</v>
      </c>
      <c r="V127" t="s">
        <v>62</v>
      </c>
      <c r="W127" t="s">
        <v>62</v>
      </c>
      <c r="X127" t="s">
        <v>62</v>
      </c>
      <c r="Z127">
        <v>1</v>
      </c>
      <c r="AA127">
        <v>1</v>
      </c>
      <c r="AB127" t="s">
        <v>309</v>
      </c>
      <c r="AD127">
        <v>1</v>
      </c>
      <c r="AE127">
        <v>1</v>
      </c>
      <c r="AF127" t="s">
        <v>309</v>
      </c>
      <c r="AG127" t="s">
        <v>424</v>
      </c>
      <c r="AH127">
        <v>585078.80099999998</v>
      </c>
      <c r="AI127">
        <v>6916111.6880000001</v>
      </c>
      <c r="AJ127">
        <v>1285.2249999999999</v>
      </c>
      <c r="AK127">
        <v>1286.7449999999999</v>
      </c>
      <c r="AL127">
        <v>1283.7049999999999</v>
      </c>
    </row>
    <row r="128" spans="1:38" x14ac:dyDescent="0.3">
      <c r="A128" t="str">
        <f t="shared" si="1"/>
        <v>CH15-106-MW008Hardness (as CaCO3)</v>
      </c>
      <c r="B128">
        <v>1650156</v>
      </c>
      <c r="C128" t="s">
        <v>416</v>
      </c>
      <c r="D128" t="s">
        <v>136</v>
      </c>
      <c r="E128" t="s">
        <v>136</v>
      </c>
      <c r="F128" s="88">
        <v>42528</v>
      </c>
      <c r="G128">
        <v>7.32</v>
      </c>
      <c r="H128">
        <v>10.36</v>
      </c>
      <c r="I128" t="s">
        <v>417</v>
      </c>
      <c r="J128" t="s">
        <v>418</v>
      </c>
      <c r="K128" t="s">
        <v>419</v>
      </c>
      <c r="L128" t="s">
        <v>420</v>
      </c>
      <c r="M128" t="s">
        <v>425</v>
      </c>
      <c r="N128">
        <v>100394562</v>
      </c>
      <c r="O128" t="s">
        <v>449</v>
      </c>
      <c r="P128" t="s">
        <v>329</v>
      </c>
      <c r="Q128">
        <v>116</v>
      </c>
      <c r="R128" t="s">
        <v>309</v>
      </c>
      <c r="S128">
        <v>0.5</v>
      </c>
      <c r="T128" t="s">
        <v>145</v>
      </c>
      <c r="U128" t="s">
        <v>145</v>
      </c>
      <c r="X128" t="s">
        <v>237</v>
      </c>
      <c r="Z128">
        <v>0.5</v>
      </c>
      <c r="AA128">
        <v>0.5</v>
      </c>
      <c r="AB128" t="s">
        <v>309</v>
      </c>
      <c r="AD128">
        <v>116</v>
      </c>
      <c r="AE128">
        <v>116</v>
      </c>
      <c r="AF128" t="s">
        <v>309</v>
      </c>
      <c r="AG128" t="s">
        <v>424</v>
      </c>
      <c r="AH128">
        <v>585078.80099999998</v>
      </c>
      <c r="AI128">
        <v>6916111.6880000001</v>
      </c>
      <c r="AJ128">
        <v>1285.2249999999999</v>
      </c>
      <c r="AK128">
        <v>1286.7449999999999</v>
      </c>
      <c r="AL128">
        <v>1283.7049999999999</v>
      </c>
    </row>
    <row r="129" spans="1:38" x14ac:dyDescent="0.3">
      <c r="A129" t="str">
        <f t="shared" si="1"/>
        <v>CH15-106-MW008Total dissolved solids</v>
      </c>
      <c r="B129">
        <v>1650156</v>
      </c>
      <c r="C129" t="s">
        <v>416</v>
      </c>
      <c r="D129" t="s">
        <v>136</v>
      </c>
      <c r="E129" t="s">
        <v>136</v>
      </c>
      <c r="F129" s="88">
        <v>42528</v>
      </c>
      <c r="G129">
        <v>7.32</v>
      </c>
      <c r="H129">
        <v>10.36</v>
      </c>
      <c r="I129" t="s">
        <v>417</v>
      </c>
      <c r="J129" t="s">
        <v>418</v>
      </c>
      <c r="K129" t="s">
        <v>419</v>
      </c>
      <c r="L129" t="s">
        <v>420</v>
      </c>
      <c r="M129" t="s">
        <v>425</v>
      </c>
      <c r="N129">
        <v>100394563</v>
      </c>
      <c r="O129" t="s">
        <v>422</v>
      </c>
      <c r="P129" t="s">
        <v>423</v>
      </c>
      <c r="Q129">
        <v>411</v>
      </c>
      <c r="R129" t="s">
        <v>309</v>
      </c>
      <c r="S129">
        <v>20</v>
      </c>
      <c r="T129" t="s">
        <v>145</v>
      </c>
      <c r="U129" t="s">
        <v>145</v>
      </c>
      <c r="V129" t="s">
        <v>60</v>
      </c>
      <c r="W129" t="s">
        <v>60</v>
      </c>
      <c r="X129" t="s">
        <v>237</v>
      </c>
      <c r="Z129">
        <v>20</v>
      </c>
      <c r="AA129">
        <v>20</v>
      </c>
      <c r="AB129" t="s">
        <v>309</v>
      </c>
      <c r="AD129">
        <v>411</v>
      </c>
      <c r="AE129">
        <v>411</v>
      </c>
      <c r="AF129" t="s">
        <v>309</v>
      </c>
      <c r="AG129" t="s">
        <v>424</v>
      </c>
      <c r="AH129">
        <v>585078.80099999998</v>
      </c>
      <c r="AI129">
        <v>6916111.6880000001</v>
      </c>
      <c r="AJ129">
        <v>1285.2249999999999</v>
      </c>
      <c r="AK129">
        <v>1286.7449999999999</v>
      </c>
      <c r="AL129">
        <v>1283.7049999999999</v>
      </c>
    </row>
    <row r="130" spans="1:38" x14ac:dyDescent="0.3">
      <c r="A130" t="str">
        <f t="shared" si="1"/>
        <v>CH15-106-MW008Total Suspended Solids</v>
      </c>
      <c r="B130">
        <v>1650156</v>
      </c>
      <c r="C130" t="s">
        <v>416</v>
      </c>
      <c r="D130" t="s">
        <v>136</v>
      </c>
      <c r="E130" t="s">
        <v>136</v>
      </c>
      <c r="F130" s="88">
        <v>42528</v>
      </c>
      <c r="G130">
        <v>7.32</v>
      </c>
      <c r="H130">
        <v>10.36</v>
      </c>
      <c r="I130" t="s">
        <v>417</v>
      </c>
      <c r="J130" t="s">
        <v>418</v>
      </c>
      <c r="K130" t="s">
        <v>419</v>
      </c>
      <c r="L130" t="s">
        <v>420</v>
      </c>
      <c r="M130" t="s">
        <v>425</v>
      </c>
      <c r="N130">
        <v>100394564</v>
      </c>
      <c r="O130" t="s">
        <v>450</v>
      </c>
      <c r="P130" t="s">
        <v>330</v>
      </c>
      <c r="Q130">
        <v>5</v>
      </c>
      <c r="R130" t="s">
        <v>309</v>
      </c>
      <c r="S130">
        <v>1</v>
      </c>
      <c r="T130" t="s">
        <v>145</v>
      </c>
      <c r="U130" t="s">
        <v>145</v>
      </c>
      <c r="V130" t="s">
        <v>60</v>
      </c>
      <c r="W130" t="s">
        <v>60</v>
      </c>
      <c r="X130" t="s">
        <v>237</v>
      </c>
      <c r="Z130">
        <v>1</v>
      </c>
      <c r="AA130">
        <v>1</v>
      </c>
      <c r="AB130" t="s">
        <v>309</v>
      </c>
      <c r="AD130">
        <v>5</v>
      </c>
      <c r="AE130">
        <v>5</v>
      </c>
      <c r="AF130" t="s">
        <v>309</v>
      </c>
      <c r="AG130" t="s">
        <v>424</v>
      </c>
      <c r="AH130">
        <v>585078.80099999998</v>
      </c>
      <c r="AI130">
        <v>6916111.6880000001</v>
      </c>
      <c r="AJ130">
        <v>1285.2249999999999</v>
      </c>
      <c r="AK130">
        <v>1286.7449999999999</v>
      </c>
      <c r="AL130">
        <v>1283.7049999999999</v>
      </c>
    </row>
    <row r="131" spans="1:38" x14ac:dyDescent="0.3">
      <c r="A131" t="str">
        <f t="shared" ref="A131:A194" si="2">E131&amp;P131</f>
        <v>CH15-106-MW008Nitrate (as N)</v>
      </c>
      <c r="B131">
        <v>1650156</v>
      </c>
      <c r="C131" t="s">
        <v>416</v>
      </c>
      <c r="D131" t="s">
        <v>136</v>
      </c>
      <c r="E131" t="s">
        <v>136</v>
      </c>
      <c r="F131" s="88">
        <v>42528</v>
      </c>
      <c r="G131">
        <v>7.32</v>
      </c>
      <c r="H131">
        <v>10.36</v>
      </c>
      <c r="I131" t="s">
        <v>417</v>
      </c>
      <c r="J131" t="s">
        <v>418</v>
      </c>
      <c r="K131" t="s">
        <v>419</v>
      </c>
      <c r="L131" t="s">
        <v>420</v>
      </c>
      <c r="M131" t="s">
        <v>425</v>
      </c>
      <c r="N131">
        <v>100394565</v>
      </c>
      <c r="O131" t="s">
        <v>451</v>
      </c>
      <c r="P131" t="s">
        <v>341</v>
      </c>
      <c r="Q131">
        <v>0.113</v>
      </c>
      <c r="R131" t="s">
        <v>309</v>
      </c>
      <c r="S131">
        <v>5.0000000000000001E-3</v>
      </c>
      <c r="T131" t="s">
        <v>145</v>
      </c>
      <c r="U131" t="s">
        <v>145</v>
      </c>
      <c r="X131" t="s">
        <v>237</v>
      </c>
      <c r="Z131">
        <v>5.0000000000000001E-3</v>
      </c>
      <c r="AA131">
        <v>5.0000000000000001E-3</v>
      </c>
      <c r="AB131" t="s">
        <v>309</v>
      </c>
      <c r="AD131">
        <v>0.113</v>
      </c>
      <c r="AE131">
        <v>0.113</v>
      </c>
      <c r="AF131" t="s">
        <v>309</v>
      </c>
      <c r="AG131" t="s">
        <v>424</v>
      </c>
      <c r="AH131">
        <v>585078.80099999998</v>
      </c>
      <c r="AI131">
        <v>6916111.6880000001</v>
      </c>
      <c r="AJ131">
        <v>1285.2249999999999</v>
      </c>
      <c r="AK131">
        <v>1286.7449999999999</v>
      </c>
      <c r="AL131">
        <v>1283.7049999999999</v>
      </c>
    </row>
    <row r="132" spans="1:38" x14ac:dyDescent="0.3">
      <c r="A132" t="str">
        <f t="shared" si="2"/>
        <v>CH15-106-MW008Nitrite (as N)</v>
      </c>
      <c r="B132">
        <v>1650156</v>
      </c>
      <c r="C132" t="s">
        <v>416</v>
      </c>
      <c r="D132" t="s">
        <v>136</v>
      </c>
      <c r="E132" t="s">
        <v>136</v>
      </c>
      <c r="F132" s="88">
        <v>42528</v>
      </c>
      <c r="G132">
        <v>7.32</v>
      </c>
      <c r="H132">
        <v>10.36</v>
      </c>
      <c r="I132" t="s">
        <v>417</v>
      </c>
      <c r="J132" t="s">
        <v>418</v>
      </c>
      <c r="K132" t="s">
        <v>419</v>
      </c>
      <c r="L132" t="s">
        <v>420</v>
      </c>
      <c r="M132" t="s">
        <v>425</v>
      </c>
      <c r="N132">
        <v>100394565</v>
      </c>
      <c r="O132" t="s">
        <v>452</v>
      </c>
      <c r="P132" t="s">
        <v>342</v>
      </c>
      <c r="Q132">
        <v>1E-3</v>
      </c>
      <c r="R132" t="s">
        <v>309</v>
      </c>
      <c r="S132">
        <v>1E-3</v>
      </c>
      <c r="T132" t="s">
        <v>145</v>
      </c>
      <c r="U132" t="s">
        <v>426</v>
      </c>
      <c r="V132" t="s">
        <v>62</v>
      </c>
      <c r="W132" t="s">
        <v>62</v>
      </c>
      <c r="X132" t="s">
        <v>62</v>
      </c>
      <c r="Z132">
        <v>1E-3</v>
      </c>
      <c r="AA132">
        <v>1E-3</v>
      </c>
      <c r="AB132" t="s">
        <v>309</v>
      </c>
      <c r="AD132">
        <v>1E-3</v>
      </c>
      <c r="AE132">
        <v>1E-3</v>
      </c>
      <c r="AF132" t="s">
        <v>309</v>
      </c>
      <c r="AG132" t="s">
        <v>424</v>
      </c>
      <c r="AH132">
        <v>585078.80099999998</v>
      </c>
      <c r="AI132">
        <v>6916111.6880000001</v>
      </c>
      <c r="AJ132">
        <v>1285.2249999999999</v>
      </c>
      <c r="AK132">
        <v>1286.7449999999999</v>
      </c>
      <c r="AL132">
        <v>1283.7049999999999</v>
      </c>
    </row>
    <row r="133" spans="1:38" x14ac:dyDescent="0.3">
      <c r="A133" t="str">
        <f t="shared" si="2"/>
        <v>CH15-106-MW008Sulfate</v>
      </c>
      <c r="B133">
        <v>1650156</v>
      </c>
      <c r="C133" t="s">
        <v>416</v>
      </c>
      <c r="D133" t="s">
        <v>136</v>
      </c>
      <c r="E133" t="s">
        <v>136</v>
      </c>
      <c r="F133" s="88">
        <v>42528</v>
      </c>
      <c r="G133">
        <v>7.32</v>
      </c>
      <c r="H133">
        <v>10.36</v>
      </c>
      <c r="I133" t="s">
        <v>417</v>
      </c>
      <c r="J133" t="s">
        <v>418</v>
      </c>
      <c r="K133" t="s">
        <v>419</v>
      </c>
      <c r="L133" t="s">
        <v>420</v>
      </c>
      <c r="M133" t="s">
        <v>425</v>
      </c>
      <c r="N133">
        <v>100394565</v>
      </c>
      <c r="O133" t="s">
        <v>453</v>
      </c>
      <c r="P133" t="s">
        <v>343</v>
      </c>
      <c r="Q133">
        <v>43.4</v>
      </c>
      <c r="R133" t="s">
        <v>309</v>
      </c>
      <c r="S133">
        <v>0.3</v>
      </c>
      <c r="T133" t="s">
        <v>145</v>
      </c>
      <c r="U133" t="s">
        <v>145</v>
      </c>
      <c r="X133" t="s">
        <v>237</v>
      </c>
      <c r="Z133">
        <v>0.3</v>
      </c>
      <c r="AA133">
        <v>0.3</v>
      </c>
      <c r="AB133" t="s">
        <v>309</v>
      </c>
      <c r="AD133">
        <v>43.4</v>
      </c>
      <c r="AE133">
        <v>43.4</v>
      </c>
      <c r="AF133" t="s">
        <v>309</v>
      </c>
      <c r="AG133" t="s">
        <v>424</v>
      </c>
      <c r="AH133">
        <v>585078.80099999998</v>
      </c>
      <c r="AI133">
        <v>6916111.6880000001</v>
      </c>
      <c r="AJ133">
        <v>1285.2249999999999</v>
      </c>
      <c r="AK133">
        <v>1286.7449999999999</v>
      </c>
      <c r="AL133">
        <v>1283.7049999999999</v>
      </c>
    </row>
    <row r="134" spans="1:38" x14ac:dyDescent="0.3">
      <c r="A134" t="str">
        <f t="shared" si="2"/>
        <v>CH15-106-MW008Chloride (Cl)</v>
      </c>
      <c r="B134">
        <v>1650156</v>
      </c>
      <c r="C134" t="s">
        <v>416</v>
      </c>
      <c r="D134" t="s">
        <v>136</v>
      </c>
      <c r="E134" t="s">
        <v>136</v>
      </c>
      <c r="F134" s="88">
        <v>42528</v>
      </c>
      <c r="G134">
        <v>7.32</v>
      </c>
      <c r="H134">
        <v>10.36</v>
      </c>
      <c r="I134" t="s">
        <v>417</v>
      </c>
      <c r="J134" t="s">
        <v>418</v>
      </c>
      <c r="K134" t="s">
        <v>419</v>
      </c>
      <c r="L134" t="s">
        <v>420</v>
      </c>
      <c r="M134" t="s">
        <v>425</v>
      </c>
      <c r="N134">
        <v>100394565</v>
      </c>
      <c r="O134" t="s">
        <v>454</v>
      </c>
      <c r="P134" t="s">
        <v>339</v>
      </c>
      <c r="Q134">
        <v>0.5</v>
      </c>
      <c r="R134" t="s">
        <v>309</v>
      </c>
      <c r="S134">
        <v>0.5</v>
      </c>
      <c r="T134" t="s">
        <v>145</v>
      </c>
      <c r="U134" t="s">
        <v>426</v>
      </c>
      <c r="V134" t="s">
        <v>62</v>
      </c>
      <c r="W134" t="s">
        <v>62</v>
      </c>
      <c r="X134" t="s">
        <v>62</v>
      </c>
      <c r="Z134">
        <v>0.5</v>
      </c>
      <c r="AA134">
        <v>0.5</v>
      </c>
      <c r="AB134" t="s">
        <v>309</v>
      </c>
      <c r="AD134">
        <v>0.5</v>
      </c>
      <c r="AE134">
        <v>0.5</v>
      </c>
      <c r="AF134" t="s">
        <v>309</v>
      </c>
      <c r="AG134" t="s">
        <v>424</v>
      </c>
      <c r="AH134">
        <v>585078.80099999998</v>
      </c>
      <c r="AI134">
        <v>6916111.6880000001</v>
      </c>
      <c r="AJ134">
        <v>1285.2249999999999</v>
      </c>
      <c r="AK134">
        <v>1286.7449999999999</v>
      </c>
      <c r="AL134">
        <v>1283.7049999999999</v>
      </c>
    </row>
    <row r="135" spans="1:38" x14ac:dyDescent="0.3">
      <c r="A135" t="str">
        <f t="shared" si="2"/>
        <v>CH15-106-MW008Fluoride</v>
      </c>
      <c r="B135">
        <v>1650156</v>
      </c>
      <c r="C135" t="s">
        <v>416</v>
      </c>
      <c r="D135" t="s">
        <v>136</v>
      </c>
      <c r="E135" t="s">
        <v>136</v>
      </c>
      <c r="F135" s="88">
        <v>42528</v>
      </c>
      <c r="G135">
        <v>7.32</v>
      </c>
      <c r="H135">
        <v>10.36</v>
      </c>
      <c r="I135" t="s">
        <v>417</v>
      </c>
      <c r="J135" t="s">
        <v>418</v>
      </c>
      <c r="K135" t="s">
        <v>419</v>
      </c>
      <c r="L135" t="s">
        <v>420</v>
      </c>
      <c r="M135" t="s">
        <v>425</v>
      </c>
      <c r="N135">
        <v>100394565</v>
      </c>
      <c r="O135" t="s">
        <v>455</v>
      </c>
      <c r="P135" t="s">
        <v>340</v>
      </c>
      <c r="Q135">
        <v>0.123</v>
      </c>
      <c r="R135" t="s">
        <v>309</v>
      </c>
      <c r="S135">
        <v>0.02</v>
      </c>
      <c r="T135" t="s">
        <v>145</v>
      </c>
      <c r="U135" t="s">
        <v>145</v>
      </c>
      <c r="X135" t="s">
        <v>237</v>
      </c>
      <c r="Z135">
        <v>0.02</v>
      </c>
      <c r="AA135">
        <v>0.02</v>
      </c>
      <c r="AB135" t="s">
        <v>309</v>
      </c>
      <c r="AD135">
        <v>0.123</v>
      </c>
      <c r="AE135">
        <v>0.123</v>
      </c>
      <c r="AF135" t="s">
        <v>309</v>
      </c>
      <c r="AG135" t="s">
        <v>424</v>
      </c>
      <c r="AH135">
        <v>585078.80099999998</v>
      </c>
      <c r="AI135">
        <v>6916111.6880000001</v>
      </c>
      <c r="AJ135">
        <v>1285.2249999999999</v>
      </c>
      <c r="AK135">
        <v>1286.7449999999999</v>
      </c>
      <c r="AL135">
        <v>1283.7049999999999</v>
      </c>
    </row>
    <row r="136" spans="1:38" x14ac:dyDescent="0.3">
      <c r="A136" t="str">
        <f t="shared" si="2"/>
        <v>CH15-106-MW008Phosphorus</v>
      </c>
      <c r="B136">
        <v>1650156</v>
      </c>
      <c r="C136" t="s">
        <v>416</v>
      </c>
      <c r="D136" t="s">
        <v>136</v>
      </c>
      <c r="E136" t="s">
        <v>136</v>
      </c>
      <c r="F136" s="88">
        <v>42528</v>
      </c>
      <c r="G136">
        <v>7.32</v>
      </c>
      <c r="H136">
        <v>10.36</v>
      </c>
      <c r="I136" t="s">
        <v>417</v>
      </c>
      <c r="J136" t="s">
        <v>418</v>
      </c>
      <c r="K136" t="s">
        <v>419</v>
      </c>
      <c r="L136" t="s">
        <v>420</v>
      </c>
      <c r="M136" t="s">
        <v>425</v>
      </c>
      <c r="N136">
        <v>100394566</v>
      </c>
      <c r="O136" t="s">
        <v>456</v>
      </c>
      <c r="P136" t="s">
        <v>13</v>
      </c>
      <c r="Q136">
        <v>0.02</v>
      </c>
      <c r="R136" t="s">
        <v>309</v>
      </c>
      <c r="S136">
        <v>0.02</v>
      </c>
      <c r="T136" t="s">
        <v>145</v>
      </c>
      <c r="U136" t="s">
        <v>426</v>
      </c>
      <c r="V136" t="s">
        <v>62</v>
      </c>
      <c r="W136" t="s">
        <v>62</v>
      </c>
      <c r="X136" t="s">
        <v>62</v>
      </c>
      <c r="Z136">
        <v>0.02</v>
      </c>
      <c r="AA136">
        <v>0.02</v>
      </c>
      <c r="AB136" t="s">
        <v>309</v>
      </c>
      <c r="AD136">
        <v>0.02</v>
      </c>
      <c r="AE136">
        <v>0.02</v>
      </c>
      <c r="AF136" t="s">
        <v>309</v>
      </c>
      <c r="AG136" t="s">
        <v>424</v>
      </c>
      <c r="AH136">
        <v>585078.80099999998</v>
      </c>
      <c r="AI136">
        <v>6916111.6880000001</v>
      </c>
      <c r="AJ136">
        <v>1285.2249999999999</v>
      </c>
      <c r="AK136">
        <v>1286.7449999999999</v>
      </c>
      <c r="AL136">
        <v>1283.7049999999999</v>
      </c>
    </row>
    <row r="137" spans="1:38" x14ac:dyDescent="0.3">
      <c r="A137" t="str">
        <f t="shared" si="2"/>
        <v>CH15-106-MW008Carbon, dissolved organic (DOC)</v>
      </c>
      <c r="B137">
        <v>1650156</v>
      </c>
      <c r="C137" t="s">
        <v>416</v>
      </c>
      <c r="D137" t="s">
        <v>136</v>
      </c>
      <c r="E137" t="s">
        <v>136</v>
      </c>
      <c r="F137" s="88">
        <v>42528</v>
      </c>
      <c r="G137">
        <v>7.32</v>
      </c>
      <c r="H137">
        <v>10.36</v>
      </c>
      <c r="I137" t="s">
        <v>417</v>
      </c>
      <c r="J137" t="s">
        <v>418</v>
      </c>
      <c r="K137" t="s">
        <v>419</v>
      </c>
      <c r="L137" t="s">
        <v>420</v>
      </c>
      <c r="M137" t="s">
        <v>425</v>
      </c>
      <c r="N137">
        <v>100394567</v>
      </c>
      <c r="O137" t="s">
        <v>457</v>
      </c>
      <c r="P137" t="s">
        <v>458</v>
      </c>
      <c r="Q137">
        <v>0.87</v>
      </c>
      <c r="R137" t="s">
        <v>309</v>
      </c>
      <c r="S137">
        <v>0.5</v>
      </c>
      <c r="T137" t="s">
        <v>145</v>
      </c>
      <c r="U137" t="s">
        <v>145</v>
      </c>
      <c r="X137" t="s">
        <v>237</v>
      </c>
      <c r="Z137">
        <v>0.5</v>
      </c>
      <c r="AA137">
        <v>0.5</v>
      </c>
      <c r="AB137" t="s">
        <v>309</v>
      </c>
      <c r="AD137">
        <v>0.87</v>
      </c>
      <c r="AE137">
        <v>0.87</v>
      </c>
      <c r="AF137" t="s">
        <v>309</v>
      </c>
      <c r="AG137" t="s">
        <v>424</v>
      </c>
      <c r="AH137">
        <v>585078.80099999998</v>
      </c>
      <c r="AI137">
        <v>6916111.6880000001</v>
      </c>
      <c r="AJ137">
        <v>1285.2249999999999</v>
      </c>
      <c r="AK137">
        <v>1286.7449999999999</v>
      </c>
      <c r="AL137">
        <v>1283.7049999999999</v>
      </c>
    </row>
    <row r="138" spans="1:38" x14ac:dyDescent="0.3">
      <c r="A138" t="str">
        <f t="shared" si="2"/>
        <v>CH15-106-MW008Iron, dissolved</v>
      </c>
      <c r="B138">
        <v>1650156</v>
      </c>
      <c r="C138" t="s">
        <v>416</v>
      </c>
      <c r="D138" t="s">
        <v>136</v>
      </c>
      <c r="E138" t="s">
        <v>136</v>
      </c>
      <c r="F138" s="88">
        <v>42528</v>
      </c>
      <c r="G138">
        <v>7.32</v>
      </c>
      <c r="H138">
        <v>10.36</v>
      </c>
      <c r="I138" t="s">
        <v>417</v>
      </c>
      <c r="J138" t="s">
        <v>418</v>
      </c>
      <c r="K138" t="s">
        <v>419</v>
      </c>
      <c r="L138" t="s">
        <v>437</v>
      </c>
      <c r="M138" t="s">
        <v>425</v>
      </c>
      <c r="N138">
        <v>100394568</v>
      </c>
      <c r="O138" t="s">
        <v>459</v>
      </c>
      <c r="P138" t="s">
        <v>460</v>
      </c>
      <c r="Q138">
        <v>0.03</v>
      </c>
      <c r="R138" t="s">
        <v>309</v>
      </c>
      <c r="S138">
        <v>0.03</v>
      </c>
      <c r="T138" t="s">
        <v>145</v>
      </c>
      <c r="U138" t="s">
        <v>426</v>
      </c>
      <c r="V138" t="s">
        <v>62</v>
      </c>
      <c r="W138" t="s">
        <v>62</v>
      </c>
      <c r="X138" t="s">
        <v>62</v>
      </c>
      <c r="Z138">
        <v>0.03</v>
      </c>
      <c r="AA138">
        <v>0.03</v>
      </c>
      <c r="AB138" t="s">
        <v>309</v>
      </c>
      <c r="AD138">
        <v>0.03</v>
      </c>
      <c r="AE138">
        <v>0.03</v>
      </c>
      <c r="AF138" t="s">
        <v>309</v>
      </c>
      <c r="AG138" t="s">
        <v>424</v>
      </c>
      <c r="AH138">
        <v>585078.80099999998</v>
      </c>
      <c r="AI138">
        <v>6916111.6880000001</v>
      </c>
      <c r="AJ138">
        <v>1285.2249999999999</v>
      </c>
      <c r="AK138">
        <v>1286.7449999999999</v>
      </c>
      <c r="AL138">
        <v>1283.7049999999999</v>
      </c>
    </row>
    <row r="139" spans="1:38" x14ac:dyDescent="0.3">
      <c r="A139" t="str">
        <f t="shared" si="2"/>
        <v>CH15-106-MW008Magnesium, dissolved</v>
      </c>
      <c r="B139">
        <v>1650156</v>
      </c>
      <c r="C139" t="s">
        <v>416</v>
      </c>
      <c r="D139" t="s">
        <v>136</v>
      </c>
      <c r="E139" t="s">
        <v>136</v>
      </c>
      <c r="F139" s="88">
        <v>42528</v>
      </c>
      <c r="G139">
        <v>7.32</v>
      </c>
      <c r="H139">
        <v>10.36</v>
      </c>
      <c r="I139" t="s">
        <v>417</v>
      </c>
      <c r="J139" t="s">
        <v>418</v>
      </c>
      <c r="K139" t="s">
        <v>419</v>
      </c>
      <c r="L139" t="s">
        <v>437</v>
      </c>
      <c r="M139" t="s">
        <v>425</v>
      </c>
      <c r="N139">
        <v>100394568</v>
      </c>
      <c r="O139" t="s">
        <v>461</v>
      </c>
      <c r="P139" t="s">
        <v>462</v>
      </c>
      <c r="Q139">
        <v>4.9400000000000004</v>
      </c>
      <c r="R139" t="s">
        <v>309</v>
      </c>
      <c r="S139">
        <v>0.1</v>
      </c>
      <c r="T139" t="s">
        <v>145</v>
      </c>
      <c r="U139" t="s">
        <v>145</v>
      </c>
      <c r="X139" t="s">
        <v>237</v>
      </c>
      <c r="Z139">
        <v>0.1</v>
      </c>
      <c r="AA139">
        <v>0.1</v>
      </c>
      <c r="AB139" t="s">
        <v>309</v>
      </c>
      <c r="AD139">
        <v>4.9400000000000004</v>
      </c>
      <c r="AE139">
        <v>4.9400000000000004</v>
      </c>
      <c r="AF139" t="s">
        <v>309</v>
      </c>
      <c r="AG139" t="s">
        <v>424</v>
      </c>
      <c r="AH139">
        <v>585078.80099999998</v>
      </c>
      <c r="AI139">
        <v>6916111.6880000001</v>
      </c>
      <c r="AJ139">
        <v>1285.2249999999999</v>
      </c>
      <c r="AK139">
        <v>1286.7449999999999</v>
      </c>
      <c r="AL139">
        <v>1283.7049999999999</v>
      </c>
    </row>
    <row r="140" spans="1:38" x14ac:dyDescent="0.3">
      <c r="A140" t="str">
        <f t="shared" si="2"/>
        <v>CH15-106-MW008Silicon, dissolved</v>
      </c>
      <c r="B140">
        <v>1650156</v>
      </c>
      <c r="C140" t="s">
        <v>416</v>
      </c>
      <c r="D140" t="s">
        <v>136</v>
      </c>
      <c r="E140" t="s">
        <v>136</v>
      </c>
      <c r="F140" s="88">
        <v>42528</v>
      </c>
      <c r="G140">
        <v>7.32</v>
      </c>
      <c r="H140">
        <v>10.36</v>
      </c>
      <c r="I140" t="s">
        <v>417</v>
      </c>
      <c r="J140" t="s">
        <v>418</v>
      </c>
      <c r="K140" t="s">
        <v>419</v>
      </c>
      <c r="L140" t="s">
        <v>437</v>
      </c>
      <c r="M140" t="s">
        <v>425</v>
      </c>
      <c r="N140">
        <v>100394568</v>
      </c>
      <c r="O140" t="s">
        <v>463</v>
      </c>
      <c r="P140" t="s">
        <v>464</v>
      </c>
      <c r="Q140">
        <v>8.34</v>
      </c>
      <c r="R140" t="s">
        <v>309</v>
      </c>
      <c r="S140">
        <v>0.05</v>
      </c>
      <c r="T140" t="s">
        <v>145</v>
      </c>
      <c r="U140" t="s">
        <v>145</v>
      </c>
      <c r="X140" t="s">
        <v>237</v>
      </c>
      <c r="Z140">
        <v>0.05</v>
      </c>
      <c r="AA140">
        <v>0.05</v>
      </c>
      <c r="AB140" t="s">
        <v>309</v>
      </c>
      <c r="AD140">
        <v>8.34</v>
      </c>
      <c r="AE140">
        <v>8.34</v>
      </c>
      <c r="AF140" t="s">
        <v>309</v>
      </c>
      <c r="AG140" t="s">
        <v>424</v>
      </c>
      <c r="AH140">
        <v>585078.80099999998</v>
      </c>
      <c r="AI140">
        <v>6916111.6880000001</v>
      </c>
      <c r="AJ140">
        <v>1285.2249999999999</v>
      </c>
      <c r="AK140">
        <v>1286.7449999999999</v>
      </c>
      <c r="AL140">
        <v>1283.7049999999999</v>
      </c>
    </row>
    <row r="141" spans="1:38" x14ac:dyDescent="0.3">
      <c r="A141" t="str">
        <f t="shared" si="2"/>
        <v>CH15-106-MW008Calcium, dissolved</v>
      </c>
      <c r="B141">
        <v>1650156</v>
      </c>
      <c r="C141" t="s">
        <v>416</v>
      </c>
      <c r="D141" t="s">
        <v>136</v>
      </c>
      <c r="E141" t="s">
        <v>136</v>
      </c>
      <c r="F141" s="88">
        <v>42528</v>
      </c>
      <c r="G141">
        <v>7.32</v>
      </c>
      <c r="H141">
        <v>10.36</v>
      </c>
      <c r="I141" t="s">
        <v>417</v>
      </c>
      <c r="J141" t="s">
        <v>418</v>
      </c>
      <c r="K141" t="s">
        <v>419</v>
      </c>
      <c r="L141" t="s">
        <v>437</v>
      </c>
      <c r="M141" t="s">
        <v>425</v>
      </c>
      <c r="N141">
        <v>100394568</v>
      </c>
      <c r="O141" t="s">
        <v>465</v>
      </c>
      <c r="P141" t="s">
        <v>466</v>
      </c>
      <c r="Q141">
        <v>38.5</v>
      </c>
      <c r="R141" t="s">
        <v>309</v>
      </c>
      <c r="S141">
        <v>0.05</v>
      </c>
      <c r="T141" t="s">
        <v>145</v>
      </c>
      <c r="U141" t="s">
        <v>145</v>
      </c>
      <c r="X141" t="s">
        <v>237</v>
      </c>
      <c r="Z141">
        <v>0.05</v>
      </c>
      <c r="AA141">
        <v>0.05</v>
      </c>
      <c r="AB141" t="s">
        <v>309</v>
      </c>
      <c r="AD141">
        <v>38.5</v>
      </c>
      <c r="AE141">
        <v>38.5</v>
      </c>
      <c r="AF141" t="s">
        <v>309</v>
      </c>
      <c r="AG141" t="s">
        <v>424</v>
      </c>
      <c r="AH141">
        <v>585078.80099999998</v>
      </c>
      <c r="AI141">
        <v>6916111.6880000001</v>
      </c>
      <c r="AJ141">
        <v>1285.2249999999999</v>
      </c>
      <c r="AK141">
        <v>1286.7449999999999</v>
      </c>
      <c r="AL141">
        <v>1283.7049999999999</v>
      </c>
    </row>
    <row r="142" spans="1:38" x14ac:dyDescent="0.3">
      <c r="A142" t="str">
        <f t="shared" si="2"/>
        <v>CH15-106-MW008Sulfur, dissolved</v>
      </c>
      <c r="B142">
        <v>1650156</v>
      </c>
      <c r="C142" t="s">
        <v>416</v>
      </c>
      <c r="D142" t="s">
        <v>136</v>
      </c>
      <c r="E142" t="s">
        <v>136</v>
      </c>
      <c r="F142" s="88">
        <v>42528</v>
      </c>
      <c r="G142">
        <v>7.32</v>
      </c>
      <c r="H142">
        <v>10.36</v>
      </c>
      <c r="I142" t="s">
        <v>417</v>
      </c>
      <c r="J142" t="s">
        <v>418</v>
      </c>
      <c r="K142" t="s">
        <v>419</v>
      </c>
      <c r="L142" t="s">
        <v>437</v>
      </c>
      <c r="M142" t="s">
        <v>425</v>
      </c>
      <c r="N142">
        <v>100394568</v>
      </c>
      <c r="O142" t="s">
        <v>467</v>
      </c>
      <c r="P142" t="s">
        <v>468</v>
      </c>
      <c r="Q142">
        <v>15.2</v>
      </c>
      <c r="R142" t="s">
        <v>309</v>
      </c>
      <c r="S142">
        <v>0.5</v>
      </c>
      <c r="T142" t="s">
        <v>145</v>
      </c>
      <c r="U142" t="s">
        <v>145</v>
      </c>
      <c r="X142" t="s">
        <v>237</v>
      </c>
      <c r="Z142">
        <v>0.5</v>
      </c>
      <c r="AA142">
        <v>0.5</v>
      </c>
      <c r="AB142" t="s">
        <v>309</v>
      </c>
      <c r="AD142">
        <v>15.2</v>
      </c>
      <c r="AE142">
        <v>15.2</v>
      </c>
      <c r="AF142" t="s">
        <v>309</v>
      </c>
      <c r="AG142" t="s">
        <v>424</v>
      </c>
      <c r="AH142">
        <v>585078.80099999998</v>
      </c>
      <c r="AI142">
        <v>6916111.6880000001</v>
      </c>
      <c r="AJ142">
        <v>1285.2249999999999</v>
      </c>
      <c r="AK142">
        <v>1286.7449999999999</v>
      </c>
      <c r="AL142">
        <v>1283.7049999999999</v>
      </c>
    </row>
    <row r="143" spans="1:38" x14ac:dyDescent="0.3">
      <c r="A143" t="str">
        <f t="shared" si="2"/>
        <v>CH15-106-MW008Phosphorus, dissolved</v>
      </c>
      <c r="B143">
        <v>1650156</v>
      </c>
      <c r="C143" t="s">
        <v>416</v>
      </c>
      <c r="D143" t="s">
        <v>136</v>
      </c>
      <c r="E143" t="s">
        <v>136</v>
      </c>
      <c r="F143" s="88">
        <v>42528</v>
      </c>
      <c r="G143">
        <v>7.32</v>
      </c>
      <c r="H143">
        <v>10.36</v>
      </c>
      <c r="I143" t="s">
        <v>417</v>
      </c>
      <c r="J143" t="s">
        <v>418</v>
      </c>
      <c r="K143" t="s">
        <v>419</v>
      </c>
      <c r="L143" t="s">
        <v>437</v>
      </c>
      <c r="M143" t="s">
        <v>425</v>
      </c>
      <c r="N143">
        <v>100394568</v>
      </c>
      <c r="O143" t="s">
        <v>469</v>
      </c>
      <c r="P143" t="s">
        <v>470</v>
      </c>
      <c r="Q143">
        <v>0.3</v>
      </c>
      <c r="R143" t="s">
        <v>309</v>
      </c>
      <c r="S143">
        <v>0.3</v>
      </c>
      <c r="T143" t="s">
        <v>145</v>
      </c>
      <c r="U143" t="s">
        <v>426</v>
      </c>
      <c r="V143" t="s">
        <v>62</v>
      </c>
      <c r="W143" t="s">
        <v>62</v>
      </c>
      <c r="X143" t="s">
        <v>62</v>
      </c>
      <c r="Z143">
        <v>0.3</v>
      </c>
      <c r="AA143">
        <v>0.3</v>
      </c>
      <c r="AB143" t="s">
        <v>309</v>
      </c>
      <c r="AD143">
        <v>0.3</v>
      </c>
      <c r="AE143">
        <v>0.3</v>
      </c>
      <c r="AF143" t="s">
        <v>309</v>
      </c>
      <c r="AG143" t="s">
        <v>424</v>
      </c>
      <c r="AH143">
        <v>585078.80099999998</v>
      </c>
      <c r="AI143">
        <v>6916111.6880000001</v>
      </c>
      <c r="AJ143">
        <v>1285.2249999999999</v>
      </c>
      <c r="AK143">
        <v>1286.7449999999999</v>
      </c>
      <c r="AL143">
        <v>1283.7049999999999</v>
      </c>
    </row>
    <row r="144" spans="1:38" x14ac:dyDescent="0.3">
      <c r="A144" t="str">
        <f t="shared" si="2"/>
        <v>CH15-106-MW008Silica, Dissolved</v>
      </c>
      <c r="B144">
        <v>1650156</v>
      </c>
      <c r="C144" t="s">
        <v>416</v>
      </c>
      <c r="D144" t="s">
        <v>136</v>
      </c>
      <c r="E144" t="s">
        <v>136</v>
      </c>
      <c r="F144" s="88">
        <v>42528</v>
      </c>
      <c r="G144">
        <v>7.32</v>
      </c>
      <c r="H144">
        <v>10.36</v>
      </c>
      <c r="I144" t="s">
        <v>417</v>
      </c>
      <c r="J144" t="s">
        <v>418</v>
      </c>
      <c r="K144" t="s">
        <v>419</v>
      </c>
      <c r="L144" t="s">
        <v>420</v>
      </c>
      <c r="M144" t="s">
        <v>425</v>
      </c>
      <c r="N144">
        <v>100394569</v>
      </c>
      <c r="O144" t="s">
        <v>471</v>
      </c>
      <c r="P144" t="s">
        <v>472</v>
      </c>
      <c r="Q144">
        <v>17.8</v>
      </c>
      <c r="R144" t="s">
        <v>309</v>
      </c>
      <c r="S144">
        <v>0.2</v>
      </c>
      <c r="T144" t="s">
        <v>145</v>
      </c>
      <c r="U144" t="s">
        <v>145</v>
      </c>
      <c r="X144" t="s">
        <v>237</v>
      </c>
      <c r="Z144">
        <v>0.2</v>
      </c>
      <c r="AA144">
        <v>0.2</v>
      </c>
      <c r="AB144" t="s">
        <v>309</v>
      </c>
      <c r="AD144">
        <v>17.8</v>
      </c>
      <c r="AE144">
        <v>17.8</v>
      </c>
      <c r="AF144" t="s">
        <v>309</v>
      </c>
      <c r="AG144" t="s">
        <v>424</v>
      </c>
      <c r="AH144">
        <v>585078.80099999998</v>
      </c>
      <c r="AI144">
        <v>6916111.6880000001</v>
      </c>
      <c r="AJ144">
        <v>1285.2249999999999</v>
      </c>
      <c r="AK144">
        <v>1286.7449999999999</v>
      </c>
      <c r="AL144">
        <v>1283.7049999999999</v>
      </c>
    </row>
    <row r="145" spans="1:38" x14ac:dyDescent="0.3">
      <c r="A145" t="str">
        <f t="shared" si="2"/>
        <v>CH15-106-MW008Aluminum, dissolved</v>
      </c>
      <c r="B145">
        <v>1650156</v>
      </c>
      <c r="C145" t="s">
        <v>416</v>
      </c>
      <c r="D145" t="s">
        <v>136</v>
      </c>
      <c r="E145" t="s">
        <v>136</v>
      </c>
      <c r="F145" s="88">
        <v>42528</v>
      </c>
      <c r="G145">
        <v>7.32</v>
      </c>
      <c r="H145">
        <v>10.36</v>
      </c>
      <c r="I145" t="s">
        <v>417</v>
      </c>
      <c r="J145" t="s">
        <v>418</v>
      </c>
      <c r="K145" t="s">
        <v>419</v>
      </c>
      <c r="L145" t="s">
        <v>437</v>
      </c>
      <c r="M145" t="s">
        <v>425</v>
      </c>
      <c r="N145">
        <v>100394570</v>
      </c>
      <c r="O145" t="s">
        <v>473</v>
      </c>
      <c r="P145" t="s">
        <v>474</v>
      </c>
      <c r="Q145">
        <v>1E-3</v>
      </c>
      <c r="R145" t="s">
        <v>309</v>
      </c>
      <c r="S145">
        <v>1E-3</v>
      </c>
      <c r="T145" t="s">
        <v>145</v>
      </c>
      <c r="U145" t="s">
        <v>426</v>
      </c>
      <c r="V145" t="s">
        <v>62</v>
      </c>
      <c r="W145" t="s">
        <v>62</v>
      </c>
      <c r="X145" t="s">
        <v>237</v>
      </c>
      <c r="Z145">
        <v>1E-3</v>
      </c>
      <c r="AA145">
        <v>1E-3</v>
      </c>
      <c r="AB145" t="s">
        <v>309</v>
      </c>
      <c r="AD145">
        <v>4.4000000000000003E-3</v>
      </c>
      <c r="AE145">
        <v>4.4000000000000003E-3</v>
      </c>
      <c r="AF145" t="s">
        <v>309</v>
      </c>
      <c r="AG145" t="s">
        <v>424</v>
      </c>
      <c r="AH145">
        <v>585078.80099999998</v>
      </c>
      <c r="AI145">
        <v>6916111.6880000001</v>
      </c>
      <c r="AJ145">
        <v>1285.2249999999999</v>
      </c>
      <c r="AK145">
        <v>1286.7449999999999</v>
      </c>
      <c r="AL145">
        <v>1283.7049999999999</v>
      </c>
    </row>
    <row r="146" spans="1:38" x14ac:dyDescent="0.3">
      <c r="A146" t="str">
        <f t="shared" si="2"/>
        <v>CH15-106-MW008Lead (Pb)-Dissolved</v>
      </c>
      <c r="B146">
        <v>1650156</v>
      </c>
      <c r="C146" t="s">
        <v>416</v>
      </c>
      <c r="D146" t="s">
        <v>136</v>
      </c>
      <c r="E146" t="s">
        <v>136</v>
      </c>
      <c r="F146" s="88">
        <v>42528</v>
      </c>
      <c r="G146">
        <v>7.32</v>
      </c>
      <c r="H146">
        <v>10.36</v>
      </c>
      <c r="I146" t="s">
        <v>417</v>
      </c>
      <c r="J146" t="s">
        <v>418</v>
      </c>
      <c r="K146" t="s">
        <v>419</v>
      </c>
      <c r="L146" t="s">
        <v>437</v>
      </c>
      <c r="M146" t="s">
        <v>425</v>
      </c>
      <c r="N146">
        <v>100394570</v>
      </c>
      <c r="O146" t="s">
        <v>475</v>
      </c>
      <c r="P146" t="s">
        <v>476</v>
      </c>
      <c r="Q146">
        <v>3.1E-4</v>
      </c>
      <c r="R146" t="s">
        <v>309</v>
      </c>
      <c r="S146">
        <v>5.0000000000000002E-5</v>
      </c>
      <c r="T146" t="s">
        <v>145</v>
      </c>
      <c r="U146" t="s">
        <v>145</v>
      </c>
      <c r="X146" t="s">
        <v>237</v>
      </c>
      <c r="Z146">
        <v>5.0000000000000002E-5</v>
      </c>
      <c r="AA146">
        <v>5.0000000000000002E-5</v>
      </c>
      <c r="AB146" t="s">
        <v>309</v>
      </c>
      <c r="AD146">
        <v>3.1E-4</v>
      </c>
      <c r="AE146">
        <v>3.1E-4</v>
      </c>
      <c r="AF146" t="s">
        <v>309</v>
      </c>
      <c r="AG146" t="s">
        <v>424</v>
      </c>
      <c r="AH146">
        <v>585078.80099999998</v>
      </c>
      <c r="AI146">
        <v>6916111.6880000001</v>
      </c>
      <c r="AJ146">
        <v>1285.2249999999999</v>
      </c>
      <c r="AK146">
        <v>1286.7449999999999</v>
      </c>
      <c r="AL146">
        <v>1283.7049999999999</v>
      </c>
    </row>
    <row r="147" spans="1:38" x14ac:dyDescent="0.3">
      <c r="A147" t="str">
        <f t="shared" si="2"/>
        <v>CH15-106-MW008Manganese, dissolved</v>
      </c>
      <c r="B147">
        <v>1650156</v>
      </c>
      <c r="C147" t="s">
        <v>416</v>
      </c>
      <c r="D147" t="s">
        <v>136</v>
      </c>
      <c r="E147" t="s">
        <v>136</v>
      </c>
      <c r="F147" s="88">
        <v>42528</v>
      </c>
      <c r="G147">
        <v>7.32</v>
      </c>
      <c r="H147">
        <v>10.36</v>
      </c>
      <c r="I147" t="s">
        <v>417</v>
      </c>
      <c r="J147" t="s">
        <v>418</v>
      </c>
      <c r="K147" t="s">
        <v>419</v>
      </c>
      <c r="L147" t="s">
        <v>437</v>
      </c>
      <c r="M147" t="s">
        <v>425</v>
      </c>
      <c r="N147">
        <v>100394570</v>
      </c>
      <c r="O147" t="s">
        <v>477</v>
      </c>
      <c r="P147" t="s">
        <v>478</v>
      </c>
      <c r="Q147">
        <v>5.9200000000000003E-2</v>
      </c>
      <c r="R147" t="s">
        <v>309</v>
      </c>
      <c r="S147">
        <v>1E-4</v>
      </c>
      <c r="T147" t="s">
        <v>145</v>
      </c>
      <c r="U147" t="s">
        <v>145</v>
      </c>
      <c r="X147" t="s">
        <v>237</v>
      </c>
      <c r="Z147">
        <v>1E-4</v>
      </c>
      <c r="AA147">
        <v>1E-4</v>
      </c>
      <c r="AB147" t="s">
        <v>309</v>
      </c>
      <c r="AD147">
        <v>5.9200000000000003E-2</v>
      </c>
      <c r="AE147">
        <v>5.9200000000000003E-2</v>
      </c>
      <c r="AF147" t="s">
        <v>309</v>
      </c>
      <c r="AG147" t="s">
        <v>424</v>
      </c>
      <c r="AH147">
        <v>585078.80099999998</v>
      </c>
      <c r="AI147">
        <v>6916111.6880000001</v>
      </c>
      <c r="AJ147">
        <v>1285.2249999999999</v>
      </c>
      <c r="AK147">
        <v>1286.7449999999999</v>
      </c>
      <c r="AL147">
        <v>1283.7049999999999</v>
      </c>
    </row>
    <row r="148" spans="1:38" x14ac:dyDescent="0.3">
      <c r="A148" t="str">
        <f t="shared" si="2"/>
        <v>CH15-106-MW008Molybdenum (Mo)-Dissolved</v>
      </c>
      <c r="B148">
        <v>1650156</v>
      </c>
      <c r="C148" t="s">
        <v>416</v>
      </c>
      <c r="D148" t="s">
        <v>136</v>
      </c>
      <c r="E148" t="s">
        <v>136</v>
      </c>
      <c r="F148" s="88">
        <v>42528</v>
      </c>
      <c r="G148">
        <v>7.32</v>
      </c>
      <c r="H148">
        <v>10.36</v>
      </c>
      <c r="I148" t="s">
        <v>417</v>
      </c>
      <c r="J148" t="s">
        <v>418</v>
      </c>
      <c r="K148" t="s">
        <v>419</v>
      </c>
      <c r="L148" t="s">
        <v>437</v>
      </c>
      <c r="M148" t="s">
        <v>425</v>
      </c>
      <c r="N148">
        <v>100394570</v>
      </c>
      <c r="O148" t="s">
        <v>479</v>
      </c>
      <c r="P148" t="s">
        <v>480</v>
      </c>
      <c r="Q148">
        <v>1.6200000000000001E-4</v>
      </c>
      <c r="R148" t="s">
        <v>309</v>
      </c>
      <c r="S148">
        <v>5.0000000000000002E-5</v>
      </c>
      <c r="T148" t="s">
        <v>145</v>
      </c>
      <c r="U148" t="s">
        <v>145</v>
      </c>
      <c r="X148" t="s">
        <v>237</v>
      </c>
      <c r="Z148">
        <v>5.0000000000000002E-5</v>
      </c>
      <c r="AA148">
        <v>5.0000000000000002E-5</v>
      </c>
      <c r="AB148" t="s">
        <v>309</v>
      </c>
      <c r="AD148">
        <v>1.6200000000000001E-4</v>
      </c>
      <c r="AE148">
        <v>1.6200000000000001E-4</v>
      </c>
      <c r="AF148" t="s">
        <v>309</v>
      </c>
      <c r="AG148" t="s">
        <v>424</v>
      </c>
      <c r="AH148">
        <v>585078.80099999998</v>
      </c>
      <c r="AI148">
        <v>6916111.6880000001</v>
      </c>
      <c r="AJ148">
        <v>1285.2249999999999</v>
      </c>
      <c r="AK148">
        <v>1286.7449999999999</v>
      </c>
      <c r="AL148">
        <v>1283.7049999999999</v>
      </c>
    </row>
    <row r="149" spans="1:38" x14ac:dyDescent="0.3">
      <c r="A149" t="str">
        <f t="shared" si="2"/>
        <v>CH15-106-MW008Nickel (Ni)-Dissolved</v>
      </c>
      <c r="B149">
        <v>1650156</v>
      </c>
      <c r="C149" t="s">
        <v>416</v>
      </c>
      <c r="D149" t="s">
        <v>136</v>
      </c>
      <c r="E149" t="s">
        <v>136</v>
      </c>
      <c r="F149" s="88">
        <v>42528</v>
      </c>
      <c r="G149">
        <v>7.32</v>
      </c>
      <c r="H149">
        <v>10.36</v>
      </c>
      <c r="I149" t="s">
        <v>417</v>
      </c>
      <c r="J149" t="s">
        <v>418</v>
      </c>
      <c r="K149" t="s">
        <v>419</v>
      </c>
      <c r="L149" t="s">
        <v>437</v>
      </c>
      <c r="M149" t="s">
        <v>425</v>
      </c>
      <c r="N149">
        <v>100394570</v>
      </c>
      <c r="O149" t="s">
        <v>481</v>
      </c>
      <c r="P149" t="s">
        <v>482</v>
      </c>
      <c r="Q149">
        <v>6.3699999999999998E-3</v>
      </c>
      <c r="R149" t="s">
        <v>309</v>
      </c>
      <c r="S149">
        <v>5.0000000000000001E-4</v>
      </c>
      <c r="T149" t="s">
        <v>145</v>
      </c>
      <c r="U149" t="s">
        <v>145</v>
      </c>
      <c r="X149" t="s">
        <v>237</v>
      </c>
      <c r="Z149">
        <v>5.0000000000000001E-4</v>
      </c>
      <c r="AA149">
        <v>5.0000000000000001E-4</v>
      </c>
      <c r="AB149" t="s">
        <v>309</v>
      </c>
      <c r="AD149">
        <v>6.3699999999999998E-3</v>
      </c>
      <c r="AE149">
        <v>6.3699999999999998E-3</v>
      </c>
      <c r="AF149" t="s">
        <v>309</v>
      </c>
      <c r="AG149" t="s">
        <v>424</v>
      </c>
      <c r="AH149">
        <v>585078.80099999998</v>
      </c>
      <c r="AI149">
        <v>6916111.6880000001</v>
      </c>
      <c r="AJ149">
        <v>1285.2249999999999</v>
      </c>
      <c r="AK149">
        <v>1286.7449999999999</v>
      </c>
      <c r="AL149">
        <v>1283.7049999999999</v>
      </c>
    </row>
    <row r="150" spans="1:38" x14ac:dyDescent="0.3">
      <c r="A150" t="str">
        <f t="shared" si="2"/>
        <v>CH15-106-MW008Potassium, dissolved</v>
      </c>
      <c r="B150">
        <v>1650156</v>
      </c>
      <c r="C150" t="s">
        <v>416</v>
      </c>
      <c r="D150" t="s">
        <v>136</v>
      </c>
      <c r="E150" t="s">
        <v>136</v>
      </c>
      <c r="F150" s="88">
        <v>42528</v>
      </c>
      <c r="G150">
        <v>7.32</v>
      </c>
      <c r="H150">
        <v>10.36</v>
      </c>
      <c r="I150" t="s">
        <v>417</v>
      </c>
      <c r="J150" t="s">
        <v>418</v>
      </c>
      <c r="K150" t="s">
        <v>419</v>
      </c>
      <c r="L150" t="s">
        <v>437</v>
      </c>
      <c r="M150" t="s">
        <v>425</v>
      </c>
      <c r="N150">
        <v>100394570</v>
      </c>
      <c r="O150" t="s">
        <v>519</v>
      </c>
      <c r="P150" t="s">
        <v>520</v>
      </c>
      <c r="Q150">
        <v>0.86099999999999999</v>
      </c>
      <c r="R150" t="s">
        <v>309</v>
      </c>
      <c r="S150">
        <v>0.05</v>
      </c>
      <c r="T150" t="s">
        <v>145</v>
      </c>
      <c r="U150" t="s">
        <v>145</v>
      </c>
      <c r="X150" t="s">
        <v>237</v>
      </c>
      <c r="Z150">
        <v>0.05</v>
      </c>
      <c r="AA150">
        <v>0.05</v>
      </c>
      <c r="AB150" t="s">
        <v>309</v>
      </c>
      <c r="AD150">
        <v>0.86099999999999999</v>
      </c>
      <c r="AE150">
        <v>0.86099999999999999</v>
      </c>
      <c r="AF150" t="s">
        <v>309</v>
      </c>
      <c r="AG150" t="s">
        <v>424</v>
      </c>
      <c r="AH150">
        <v>585078.80099999998</v>
      </c>
      <c r="AI150">
        <v>6916111.6880000001</v>
      </c>
      <c r="AJ150">
        <v>1285.2249999999999</v>
      </c>
      <c r="AK150">
        <v>1286.7449999999999</v>
      </c>
      <c r="AL150">
        <v>1283.7049999999999</v>
      </c>
    </row>
    <row r="151" spans="1:38" x14ac:dyDescent="0.3">
      <c r="A151" t="str">
        <f t="shared" si="2"/>
        <v>CH15-106-MW008Silver (Ag)-Dissolved</v>
      </c>
      <c r="B151">
        <v>1650156</v>
      </c>
      <c r="C151" t="s">
        <v>416</v>
      </c>
      <c r="D151" t="s">
        <v>136</v>
      </c>
      <c r="E151" t="s">
        <v>136</v>
      </c>
      <c r="F151" s="88">
        <v>42528</v>
      </c>
      <c r="G151">
        <v>7.32</v>
      </c>
      <c r="H151">
        <v>10.36</v>
      </c>
      <c r="I151" t="s">
        <v>417</v>
      </c>
      <c r="J151" t="s">
        <v>418</v>
      </c>
      <c r="K151" t="s">
        <v>419</v>
      </c>
      <c r="L151" t="s">
        <v>437</v>
      </c>
      <c r="M151" t="s">
        <v>425</v>
      </c>
      <c r="N151">
        <v>100394570</v>
      </c>
      <c r="O151" t="s">
        <v>483</v>
      </c>
      <c r="P151" t="s">
        <v>484</v>
      </c>
      <c r="Q151" s="87">
        <v>1.0000000000000001E-5</v>
      </c>
      <c r="R151" t="s">
        <v>309</v>
      </c>
      <c r="S151">
        <v>1.0000000000000001E-5</v>
      </c>
      <c r="T151" t="s">
        <v>145</v>
      </c>
      <c r="U151" t="s">
        <v>426</v>
      </c>
      <c r="V151" t="s">
        <v>62</v>
      </c>
      <c r="W151" t="s">
        <v>62</v>
      </c>
      <c r="X151" t="s">
        <v>62</v>
      </c>
      <c r="Z151">
        <v>1.0000000000000001E-5</v>
      </c>
      <c r="AA151">
        <v>1.0000000000000001E-5</v>
      </c>
      <c r="AB151" t="s">
        <v>309</v>
      </c>
      <c r="AD151">
        <v>1.0000000000000001E-5</v>
      </c>
      <c r="AE151">
        <v>1.0000000000000001E-5</v>
      </c>
      <c r="AF151" t="s">
        <v>309</v>
      </c>
      <c r="AG151" t="s">
        <v>424</v>
      </c>
      <c r="AH151">
        <v>585078.80099999998</v>
      </c>
      <c r="AI151">
        <v>6916111.6880000001</v>
      </c>
      <c r="AJ151">
        <v>1285.2249999999999</v>
      </c>
      <c r="AK151">
        <v>1286.7449999999999</v>
      </c>
      <c r="AL151">
        <v>1283.7049999999999</v>
      </c>
    </row>
    <row r="152" spans="1:38" x14ac:dyDescent="0.3">
      <c r="A152" t="str">
        <f t="shared" si="2"/>
        <v>CH15-106-MW008Sodium (Na)-Dissolved</v>
      </c>
      <c r="B152">
        <v>1650156</v>
      </c>
      <c r="C152" t="s">
        <v>416</v>
      </c>
      <c r="D152" t="s">
        <v>136</v>
      </c>
      <c r="E152" t="s">
        <v>136</v>
      </c>
      <c r="F152" s="88">
        <v>42528</v>
      </c>
      <c r="G152">
        <v>7.32</v>
      </c>
      <c r="H152">
        <v>10.36</v>
      </c>
      <c r="I152" t="s">
        <v>417</v>
      </c>
      <c r="J152" t="s">
        <v>418</v>
      </c>
      <c r="K152" t="s">
        <v>419</v>
      </c>
      <c r="L152" t="s">
        <v>437</v>
      </c>
      <c r="M152" t="s">
        <v>425</v>
      </c>
      <c r="N152">
        <v>100394570</v>
      </c>
      <c r="O152" t="s">
        <v>485</v>
      </c>
      <c r="P152" t="s">
        <v>486</v>
      </c>
      <c r="Q152">
        <v>2.34</v>
      </c>
      <c r="R152" t="s">
        <v>309</v>
      </c>
      <c r="S152">
        <v>0.05</v>
      </c>
      <c r="T152" t="s">
        <v>145</v>
      </c>
      <c r="U152" t="s">
        <v>145</v>
      </c>
      <c r="X152" t="s">
        <v>237</v>
      </c>
      <c r="Z152">
        <v>0.05</v>
      </c>
      <c r="AA152">
        <v>0.05</v>
      </c>
      <c r="AB152" t="s">
        <v>309</v>
      </c>
      <c r="AD152">
        <v>2.34</v>
      </c>
      <c r="AE152">
        <v>2.34</v>
      </c>
      <c r="AF152" t="s">
        <v>309</v>
      </c>
      <c r="AG152" t="s">
        <v>424</v>
      </c>
      <c r="AH152">
        <v>585078.80099999998</v>
      </c>
      <c r="AI152">
        <v>6916111.6880000001</v>
      </c>
      <c r="AJ152">
        <v>1285.2249999999999</v>
      </c>
      <c r="AK152">
        <v>1286.7449999999999</v>
      </c>
      <c r="AL152">
        <v>1283.7049999999999</v>
      </c>
    </row>
    <row r="153" spans="1:38" x14ac:dyDescent="0.3">
      <c r="A153" t="str">
        <f t="shared" si="2"/>
        <v>CH15-106-MW008Strontium, dissolved</v>
      </c>
      <c r="B153">
        <v>1650156</v>
      </c>
      <c r="C153" t="s">
        <v>416</v>
      </c>
      <c r="D153" t="s">
        <v>136</v>
      </c>
      <c r="E153" t="s">
        <v>136</v>
      </c>
      <c r="F153" s="88">
        <v>42528</v>
      </c>
      <c r="G153">
        <v>7.32</v>
      </c>
      <c r="H153">
        <v>10.36</v>
      </c>
      <c r="I153" t="s">
        <v>417</v>
      </c>
      <c r="J153" t="s">
        <v>418</v>
      </c>
      <c r="K153" t="s">
        <v>419</v>
      </c>
      <c r="L153" t="s">
        <v>437</v>
      </c>
      <c r="M153" t="s">
        <v>425</v>
      </c>
      <c r="N153">
        <v>100394570</v>
      </c>
      <c r="O153" t="s">
        <v>487</v>
      </c>
      <c r="P153" t="s">
        <v>488</v>
      </c>
      <c r="Q153">
        <v>0.113</v>
      </c>
      <c r="R153" t="s">
        <v>309</v>
      </c>
      <c r="S153">
        <v>2.0000000000000001E-4</v>
      </c>
      <c r="T153" t="s">
        <v>145</v>
      </c>
      <c r="U153" t="s">
        <v>145</v>
      </c>
      <c r="X153" t="s">
        <v>237</v>
      </c>
      <c r="Z153">
        <v>2.0000000000000001E-4</v>
      </c>
      <c r="AA153">
        <v>2.0000000000000001E-4</v>
      </c>
      <c r="AB153" t="s">
        <v>309</v>
      </c>
      <c r="AD153">
        <v>0.113</v>
      </c>
      <c r="AE153">
        <v>0.113</v>
      </c>
      <c r="AF153" t="s">
        <v>309</v>
      </c>
      <c r="AG153" t="s">
        <v>424</v>
      </c>
      <c r="AH153">
        <v>585078.80099999998</v>
      </c>
      <c r="AI153">
        <v>6916111.6880000001</v>
      </c>
      <c r="AJ153">
        <v>1285.2249999999999</v>
      </c>
      <c r="AK153">
        <v>1286.7449999999999</v>
      </c>
      <c r="AL153">
        <v>1283.7049999999999</v>
      </c>
    </row>
    <row r="154" spans="1:38" x14ac:dyDescent="0.3">
      <c r="A154" t="str">
        <f t="shared" si="2"/>
        <v>CH15-106-MW008Thallium (Tl)-Dissolved</v>
      </c>
      <c r="B154">
        <v>1650156</v>
      </c>
      <c r="C154" t="s">
        <v>416</v>
      </c>
      <c r="D154" t="s">
        <v>136</v>
      </c>
      <c r="E154" t="s">
        <v>136</v>
      </c>
      <c r="F154" s="88">
        <v>42528</v>
      </c>
      <c r="G154">
        <v>7.32</v>
      </c>
      <c r="H154">
        <v>10.36</v>
      </c>
      <c r="I154" t="s">
        <v>417</v>
      </c>
      <c r="J154" t="s">
        <v>418</v>
      </c>
      <c r="K154" t="s">
        <v>419</v>
      </c>
      <c r="L154" t="s">
        <v>437</v>
      </c>
      <c r="M154" t="s">
        <v>425</v>
      </c>
      <c r="N154">
        <v>100394570</v>
      </c>
      <c r="O154" t="s">
        <v>489</v>
      </c>
      <c r="P154" t="s">
        <v>490</v>
      </c>
      <c r="Q154" s="87">
        <v>1.0000000000000001E-5</v>
      </c>
      <c r="R154" t="s">
        <v>309</v>
      </c>
      <c r="S154">
        <v>1.0000000000000001E-5</v>
      </c>
      <c r="T154" t="s">
        <v>145</v>
      </c>
      <c r="U154" t="s">
        <v>426</v>
      </c>
      <c r="V154" t="s">
        <v>62</v>
      </c>
      <c r="W154" t="s">
        <v>62</v>
      </c>
      <c r="X154" t="s">
        <v>62</v>
      </c>
      <c r="Z154">
        <v>1.0000000000000001E-5</v>
      </c>
      <c r="AA154">
        <v>1.0000000000000001E-5</v>
      </c>
      <c r="AB154" t="s">
        <v>309</v>
      </c>
      <c r="AD154">
        <v>1.0000000000000001E-5</v>
      </c>
      <c r="AE154">
        <v>1.0000000000000001E-5</v>
      </c>
      <c r="AF154" t="s">
        <v>309</v>
      </c>
      <c r="AG154" t="s">
        <v>424</v>
      </c>
      <c r="AH154">
        <v>585078.80099999998</v>
      </c>
      <c r="AI154">
        <v>6916111.6880000001</v>
      </c>
      <c r="AJ154">
        <v>1285.2249999999999</v>
      </c>
      <c r="AK154">
        <v>1286.7449999999999</v>
      </c>
      <c r="AL154">
        <v>1283.7049999999999</v>
      </c>
    </row>
    <row r="155" spans="1:38" x14ac:dyDescent="0.3">
      <c r="A155" t="str">
        <f t="shared" si="2"/>
        <v>CH15-106-MW008Titanium, dissolved</v>
      </c>
      <c r="B155">
        <v>1650156</v>
      </c>
      <c r="C155" t="s">
        <v>416</v>
      </c>
      <c r="D155" t="s">
        <v>136</v>
      </c>
      <c r="E155" t="s">
        <v>136</v>
      </c>
      <c r="F155" s="88">
        <v>42528</v>
      </c>
      <c r="G155">
        <v>7.32</v>
      </c>
      <c r="H155">
        <v>10.36</v>
      </c>
      <c r="I155" t="s">
        <v>417</v>
      </c>
      <c r="J155" t="s">
        <v>418</v>
      </c>
      <c r="K155" t="s">
        <v>419</v>
      </c>
      <c r="L155" t="s">
        <v>437</v>
      </c>
      <c r="M155" t="s">
        <v>425</v>
      </c>
      <c r="N155">
        <v>100394570</v>
      </c>
      <c r="O155" t="s">
        <v>491</v>
      </c>
      <c r="P155" t="s">
        <v>492</v>
      </c>
      <c r="Q155">
        <v>2.9999999999999997E-4</v>
      </c>
      <c r="R155" t="s">
        <v>309</v>
      </c>
      <c r="S155">
        <v>2.9999999999999997E-4</v>
      </c>
      <c r="T155" t="s">
        <v>145</v>
      </c>
      <c r="U155" t="s">
        <v>426</v>
      </c>
      <c r="V155" t="s">
        <v>62</v>
      </c>
      <c r="W155" t="s">
        <v>62</v>
      </c>
      <c r="X155" t="s">
        <v>62</v>
      </c>
      <c r="Z155">
        <v>2.9999999999999997E-4</v>
      </c>
      <c r="AA155">
        <v>2.9999999999999997E-4</v>
      </c>
      <c r="AB155" t="s">
        <v>309</v>
      </c>
      <c r="AD155">
        <v>2.9999999999999997E-4</v>
      </c>
      <c r="AE155">
        <v>2.9999999999999997E-4</v>
      </c>
      <c r="AF155" t="s">
        <v>309</v>
      </c>
      <c r="AG155" t="s">
        <v>424</v>
      </c>
      <c r="AH155">
        <v>585078.80099999998</v>
      </c>
      <c r="AI155">
        <v>6916111.6880000001</v>
      </c>
      <c r="AJ155">
        <v>1285.2249999999999</v>
      </c>
      <c r="AK155">
        <v>1286.7449999999999</v>
      </c>
      <c r="AL155">
        <v>1283.7049999999999</v>
      </c>
    </row>
    <row r="156" spans="1:38" x14ac:dyDescent="0.3">
      <c r="A156" t="str">
        <f t="shared" si="2"/>
        <v>CH15-106-MW008Antimony (Sb)-Dissolved</v>
      </c>
      <c r="B156">
        <v>1650156</v>
      </c>
      <c r="C156" t="s">
        <v>416</v>
      </c>
      <c r="D156" t="s">
        <v>136</v>
      </c>
      <c r="E156" t="s">
        <v>136</v>
      </c>
      <c r="F156" s="88">
        <v>42528</v>
      </c>
      <c r="G156">
        <v>7.32</v>
      </c>
      <c r="H156">
        <v>10.36</v>
      </c>
      <c r="I156" t="s">
        <v>417</v>
      </c>
      <c r="J156" t="s">
        <v>418</v>
      </c>
      <c r="K156" t="s">
        <v>419</v>
      </c>
      <c r="L156" t="s">
        <v>437</v>
      </c>
      <c r="M156" t="s">
        <v>425</v>
      </c>
      <c r="N156">
        <v>100394570</v>
      </c>
      <c r="O156" t="s">
        <v>493</v>
      </c>
      <c r="P156" t="s">
        <v>494</v>
      </c>
      <c r="Q156">
        <v>1.6000000000000001E-4</v>
      </c>
      <c r="R156" t="s">
        <v>309</v>
      </c>
      <c r="S156">
        <v>1E-4</v>
      </c>
      <c r="T156" t="s">
        <v>145</v>
      </c>
      <c r="U156" t="s">
        <v>145</v>
      </c>
      <c r="X156" t="s">
        <v>237</v>
      </c>
      <c r="Z156">
        <v>1E-4</v>
      </c>
      <c r="AA156">
        <v>1E-4</v>
      </c>
      <c r="AB156" t="s">
        <v>309</v>
      </c>
      <c r="AD156">
        <v>1.6000000000000001E-4</v>
      </c>
      <c r="AE156">
        <v>1.6000000000000001E-4</v>
      </c>
      <c r="AF156" t="s">
        <v>309</v>
      </c>
      <c r="AG156" t="s">
        <v>424</v>
      </c>
      <c r="AH156">
        <v>585078.80099999998</v>
      </c>
      <c r="AI156">
        <v>6916111.6880000001</v>
      </c>
      <c r="AJ156">
        <v>1285.2249999999999</v>
      </c>
      <c r="AK156">
        <v>1286.7449999999999</v>
      </c>
      <c r="AL156">
        <v>1283.7049999999999</v>
      </c>
    </row>
    <row r="157" spans="1:38" x14ac:dyDescent="0.3">
      <c r="A157" t="str">
        <f t="shared" si="2"/>
        <v>CH15-106-MW008Arsenic (As)-Dissolved</v>
      </c>
      <c r="B157">
        <v>1650156</v>
      </c>
      <c r="C157" t="s">
        <v>416</v>
      </c>
      <c r="D157" t="s">
        <v>136</v>
      </c>
      <c r="E157" t="s">
        <v>136</v>
      </c>
      <c r="F157" s="88">
        <v>42528</v>
      </c>
      <c r="G157">
        <v>7.32</v>
      </c>
      <c r="H157">
        <v>10.36</v>
      </c>
      <c r="I157" t="s">
        <v>417</v>
      </c>
      <c r="J157" t="s">
        <v>418</v>
      </c>
      <c r="K157" t="s">
        <v>419</v>
      </c>
      <c r="L157" t="s">
        <v>437</v>
      </c>
      <c r="M157" t="s">
        <v>425</v>
      </c>
      <c r="N157">
        <v>100394570</v>
      </c>
      <c r="O157" t="s">
        <v>521</v>
      </c>
      <c r="P157" t="s">
        <v>522</v>
      </c>
      <c r="Q157">
        <v>1.8000000000000001E-4</v>
      </c>
      <c r="R157" t="s">
        <v>309</v>
      </c>
      <c r="S157">
        <v>1E-4</v>
      </c>
      <c r="T157" t="s">
        <v>145</v>
      </c>
      <c r="U157" t="s">
        <v>145</v>
      </c>
      <c r="X157" t="s">
        <v>237</v>
      </c>
      <c r="Z157">
        <v>1E-4</v>
      </c>
      <c r="AA157">
        <v>1E-4</v>
      </c>
      <c r="AB157" t="s">
        <v>309</v>
      </c>
      <c r="AD157">
        <v>1.8000000000000001E-4</v>
      </c>
      <c r="AE157">
        <v>1.8000000000000001E-4</v>
      </c>
      <c r="AF157" t="s">
        <v>309</v>
      </c>
      <c r="AG157" t="s">
        <v>424</v>
      </c>
      <c r="AH157">
        <v>585078.80099999998</v>
      </c>
      <c r="AI157">
        <v>6916111.6880000001</v>
      </c>
      <c r="AJ157">
        <v>1285.2249999999999</v>
      </c>
      <c r="AK157">
        <v>1286.7449999999999</v>
      </c>
      <c r="AL157">
        <v>1283.7049999999999</v>
      </c>
    </row>
    <row r="158" spans="1:38" x14ac:dyDescent="0.3">
      <c r="A158" t="str">
        <f t="shared" si="2"/>
        <v>CH15-106-MW008Barium (Ba)-Dissolved</v>
      </c>
      <c r="B158">
        <v>1650156</v>
      </c>
      <c r="C158" t="s">
        <v>416</v>
      </c>
      <c r="D158" t="s">
        <v>136</v>
      </c>
      <c r="E158" t="s">
        <v>136</v>
      </c>
      <c r="F158" s="88">
        <v>42528</v>
      </c>
      <c r="G158">
        <v>7.32</v>
      </c>
      <c r="H158">
        <v>10.36</v>
      </c>
      <c r="I158" t="s">
        <v>417</v>
      </c>
      <c r="J158" t="s">
        <v>418</v>
      </c>
      <c r="K158" t="s">
        <v>419</v>
      </c>
      <c r="L158" t="s">
        <v>437</v>
      </c>
      <c r="M158" t="s">
        <v>425</v>
      </c>
      <c r="N158">
        <v>100394570</v>
      </c>
      <c r="O158" t="s">
        <v>495</v>
      </c>
      <c r="P158" t="s">
        <v>496</v>
      </c>
      <c r="Q158">
        <v>4.9000000000000002E-2</v>
      </c>
      <c r="R158" t="s">
        <v>309</v>
      </c>
      <c r="S158">
        <v>5.0000000000000002E-5</v>
      </c>
      <c r="T158" t="s">
        <v>145</v>
      </c>
      <c r="U158" t="s">
        <v>145</v>
      </c>
      <c r="X158" t="s">
        <v>237</v>
      </c>
      <c r="Z158">
        <v>5.0000000000000002E-5</v>
      </c>
      <c r="AA158">
        <v>5.0000000000000002E-5</v>
      </c>
      <c r="AB158" t="s">
        <v>309</v>
      </c>
      <c r="AD158">
        <v>4.9000000000000002E-2</v>
      </c>
      <c r="AE158">
        <v>4.9000000000000002E-2</v>
      </c>
      <c r="AF158" t="s">
        <v>309</v>
      </c>
      <c r="AG158" t="s">
        <v>424</v>
      </c>
      <c r="AH158">
        <v>585078.80099999998</v>
      </c>
      <c r="AI158">
        <v>6916111.6880000001</v>
      </c>
      <c r="AJ158">
        <v>1285.2249999999999</v>
      </c>
      <c r="AK158">
        <v>1286.7449999999999</v>
      </c>
      <c r="AL158">
        <v>1283.7049999999999</v>
      </c>
    </row>
    <row r="159" spans="1:38" x14ac:dyDescent="0.3">
      <c r="A159" t="str">
        <f t="shared" si="2"/>
        <v>CH15-106-MW008Beryllium (Be)-Dissolved</v>
      </c>
      <c r="B159">
        <v>1650156</v>
      </c>
      <c r="C159" t="s">
        <v>416</v>
      </c>
      <c r="D159" t="s">
        <v>136</v>
      </c>
      <c r="E159" t="s">
        <v>136</v>
      </c>
      <c r="F159" s="88">
        <v>42528</v>
      </c>
      <c r="G159">
        <v>7.32</v>
      </c>
      <c r="H159">
        <v>10.36</v>
      </c>
      <c r="I159" t="s">
        <v>417</v>
      </c>
      <c r="J159" t="s">
        <v>418</v>
      </c>
      <c r="K159" t="s">
        <v>419</v>
      </c>
      <c r="L159" t="s">
        <v>437</v>
      </c>
      <c r="M159" t="s">
        <v>425</v>
      </c>
      <c r="N159">
        <v>100394570</v>
      </c>
      <c r="O159" t="s">
        <v>497</v>
      </c>
      <c r="P159" t="s">
        <v>498</v>
      </c>
      <c r="Q159">
        <v>1E-4</v>
      </c>
      <c r="R159" t="s">
        <v>309</v>
      </c>
      <c r="S159">
        <v>1E-4</v>
      </c>
      <c r="T159" t="s">
        <v>145</v>
      </c>
      <c r="U159" t="s">
        <v>426</v>
      </c>
      <c r="V159" t="s">
        <v>62</v>
      </c>
      <c r="W159" t="s">
        <v>62</v>
      </c>
      <c r="X159" t="s">
        <v>62</v>
      </c>
      <c r="Z159">
        <v>1E-4</v>
      </c>
      <c r="AA159">
        <v>1E-4</v>
      </c>
      <c r="AB159" t="s">
        <v>309</v>
      </c>
      <c r="AD159">
        <v>1E-4</v>
      </c>
      <c r="AE159">
        <v>1E-4</v>
      </c>
      <c r="AF159" t="s">
        <v>309</v>
      </c>
      <c r="AG159" t="s">
        <v>424</v>
      </c>
      <c r="AH159">
        <v>585078.80099999998</v>
      </c>
      <c r="AI159">
        <v>6916111.6880000001</v>
      </c>
      <c r="AJ159">
        <v>1285.2249999999999</v>
      </c>
      <c r="AK159">
        <v>1286.7449999999999</v>
      </c>
      <c r="AL159">
        <v>1283.7049999999999</v>
      </c>
    </row>
    <row r="160" spans="1:38" x14ac:dyDescent="0.3">
      <c r="A160" t="str">
        <f t="shared" si="2"/>
        <v>CH15-106-MW008Boron (B)-Dissolved</v>
      </c>
      <c r="B160">
        <v>1650156</v>
      </c>
      <c r="C160" t="s">
        <v>416</v>
      </c>
      <c r="D160" t="s">
        <v>136</v>
      </c>
      <c r="E160" t="s">
        <v>136</v>
      </c>
      <c r="F160" s="88">
        <v>42528</v>
      </c>
      <c r="G160">
        <v>7.32</v>
      </c>
      <c r="H160">
        <v>10.36</v>
      </c>
      <c r="I160" t="s">
        <v>417</v>
      </c>
      <c r="J160" t="s">
        <v>418</v>
      </c>
      <c r="K160" t="s">
        <v>419</v>
      </c>
      <c r="L160" t="s">
        <v>437</v>
      </c>
      <c r="M160" t="s">
        <v>425</v>
      </c>
      <c r="N160">
        <v>100394570</v>
      </c>
      <c r="O160" t="s">
        <v>499</v>
      </c>
      <c r="P160" t="s">
        <v>500</v>
      </c>
      <c r="Q160">
        <v>0.01</v>
      </c>
      <c r="R160" t="s">
        <v>309</v>
      </c>
      <c r="S160">
        <v>0.01</v>
      </c>
      <c r="T160" t="s">
        <v>145</v>
      </c>
      <c r="U160" t="s">
        <v>426</v>
      </c>
      <c r="V160" t="s">
        <v>62</v>
      </c>
      <c r="W160" t="s">
        <v>62</v>
      </c>
      <c r="X160" t="s">
        <v>62</v>
      </c>
      <c r="Z160">
        <v>0.01</v>
      </c>
      <c r="AA160">
        <v>0.01</v>
      </c>
      <c r="AB160" t="s">
        <v>309</v>
      </c>
      <c r="AD160">
        <v>0.01</v>
      </c>
      <c r="AE160">
        <v>0.01</v>
      </c>
      <c r="AF160" t="s">
        <v>309</v>
      </c>
      <c r="AG160" t="s">
        <v>424</v>
      </c>
      <c r="AH160">
        <v>585078.80099999998</v>
      </c>
      <c r="AI160">
        <v>6916111.6880000001</v>
      </c>
      <c r="AJ160">
        <v>1285.2249999999999</v>
      </c>
      <c r="AK160">
        <v>1286.7449999999999</v>
      </c>
      <c r="AL160">
        <v>1283.7049999999999</v>
      </c>
    </row>
    <row r="161" spans="1:38" x14ac:dyDescent="0.3">
      <c r="A161" t="str">
        <f t="shared" si="2"/>
        <v>CH15-106-MW008Cadmium (Cd)-Dissolved</v>
      </c>
      <c r="B161">
        <v>1650156</v>
      </c>
      <c r="C161" t="s">
        <v>416</v>
      </c>
      <c r="D161" t="s">
        <v>136</v>
      </c>
      <c r="E161" t="s">
        <v>136</v>
      </c>
      <c r="F161" s="88">
        <v>42528</v>
      </c>
      <c r="G161">
        <v>7.32</v>
      </c>
      <c r="H161">
        <v>10.36</v>
      </c>
      <c r="I161" t="s">
        <v>417</v>
      </c>
      <c r="J161" t="s">
        <v>418</v>
      </c>
      <c r="K161" t="s">
        <v>419</v>
      </c>
      <c r="L161" t="s">
        <v>437</v>
      </c>
      <c r="M161" t="s">
        <v>425</v>
      </c>
      <c r="N161">
        <v>100394570</v>
      </c>
      <c r="O161" t="s">
        <v>501</v>
      </c>
      <c r="P161" t="s">
        <v>502</v>
      </c>
      <c r="Q161">
        <v>2.14E-4</v>
      </c>
      <c r="R161" t="s">
        <v>309</v>
      </c>
      <c r="S161">
        <v>5.0000000000000004E-6</v>
      </c>
      <c r="T161" t="s">
        <v>145</v>
      </c>
      <c r="U161" t="s">
        <v>145</v>
      </c>
      <c r="X161" t="s">
        <v>237</v>
      </c>
      <c r="Z161">
        <v>5.0000000000000004E-6</v>
      </c>
      <c r="AA161">
        <v>5.0000000000000004E-6</v>
      </c>
      <c r="AB161" t="s">
        <v>309</v>
      </c>
      <c r="AD161">
        <v>2.14E-4</v>
      </c>
      <c r="AE161">
        <v>2.14E-4</v>
      </c>
      <c r="AF161" t="s">
        <v>309</v>
      </c>
      <c r="AG161" t="s">
        <v>424</v>
      </c>
      <c r="AH161">
        <v>585078.80099999998</v>
      </c>
      <c r="AI161">
        <v>6916111.6880000001</v>
      </c>
      <c r="AJ161">
        <v>1285.2249999999999</v>
      </c>
      <c r="AK161">
        <v>1286.7449999999999</v>
      </c>
      <c r="AL161">
        <v>1283.7049999999999</v>
      </c>
    </row>
    <row r="162" spans="1:38" x14ac:dyDescent="0.3">
      <c r="A162" t="str">
        <f t="shared" si="2"/>
        <v>CH15-106-MW008Chromium (Cr)-Dissolved</v>
      </c>
      <c r="B162">
        <v>1650156</v>
      </c>
      <c r="C162" t="s">
        <v>416</v>
      </c>
      <c r="D162" t="s">
        <v>136</v>
      </c>
      <c r="E162" t="s">
        <v>136</v>
      </c>
      <c r="F162" s="88">
        <v>42528</v>
      </c>
      <c r="G162">
        <v>7.32</v>
      </c>
      <c r="H162">
        <v>10.36</v>
      </c>
      <c r="I162" t="s">
        <v>417</v>
      </c>
      <c r="J162" t="s">
        <v>418</v>
      </c>
      <c r="K162" t="s">
        <v>419</v>
      </c>
      <c r="L162" t="s">
        <v>437</v>
      </c>
      <c r="M162" t="s">
        <v>425</v>
      </c>
      <c r="N162">
        <v>100394570</v>
      </c>
      <c r="O162" t="s">
        <v>503</v>
      </c>
      <c r="P162" t="s">
        <v>504</v>
      </c>
      <c r="Q162">
        <v>3.8000000000000002E-4</v>
      </c>
      <c r="R162" t="s">
        <v>309</v>
      </c>
      <c r="S162">
        <v>1E-4</v>
      </c>
      <c r="T162" t="s">
        <v>145</v>
      </c>
      <c r="U162" t="s">
        <v>145</v>
      </c>
      <c r="X162" t="s">
        <v>237</v>
      </c>
      <c r="Z162">
        <v>1E-4</v>
      </c>
      <c r="AA162">
        <v>1E-4</v>
      </c>
      <c r="AB162" t="s">
        <v>309</v>
      </c>
      <c r="AD162">
        <v>3.8000000000000002E-4</v>
      </c>
      <c r="AE162">
        <v>3.8000000000000002E-4</v>
      </c>
      <c r="AF162" t="s">
        <v>309</v>
      </c>
      <c r="AG162" t="s">
        <v>424</v>
      </c>
      <c r="AH162">
        <v>585078.80099999998</v>
      </c>
      <c r="AI162">
        <v>6916111.6880000001</v>
      </c>
      <c r="AJ162">
        <v>1285.2249999999999</v>
      </c>
      <c r="AK162">
        <v>1286.7449999999999</v>
      </c>
      <c r="AL162">
        <v>1283.7049999999999</v>
      </c>
    </row>
    <row r="163" spans="1:38" x14ac:dyDescent="0.3">
      <c r="A163" t="str">
        <f t="shared" si="2"/>
        <v>CH15-106-MW008Cobalt (Co)-Dissolved</v>
      </c>
      <c r="B163">
        <v>1650156</v>
      </c>
      <c r="C163" t="s">
        <v>416</v>
      </c>
      <c r="D163" t="s">
        <v>136</v>
      </c>
      <c r="E163" t="s">
        <v>136</v>
      </c>
      <c r="F163" s="88">
        <v>42528</v>
      </c>
      <c r="G163">
        <v>7.32</v>
      </c>
      <c r="H163">
        <v>10.36</v>
      </c>
      <c r="I163" t="s">
        <v>417</v>
      </c>
      <c r="J163" t="s">
        <v>418</v>
      </c>
      <c r="K163" t="s">
        <v>419</v>
      </c>
      <c r="L163" t="s">
        <v>437</v>
      </c>
      <c r="M163" t="s">
        <v>425</v>
      </c>
      <c r="N163">
        <v>100394570</v>
      </c>
      <c r="O163" t="s">
        <v>505</v>
      </c>
      <c r="P163" t="s">
        <v>506</v>
      </c>
      <c r="Q163">
        <v>1.6000000000000001E-4</v>
      </c>
      <c r="R163" t="s">
        <v>309</v>
      </c>
      <c r="S163">
        <v>1E-4</v>
      </c>
      <c r="T163" t="s">
        <v>145</v>
      </c>
      <c r="U163" t="s">
        <v>145</v>
      </c>
      <c r="X163" t="s">
        <v>237</v>
      </c>
      <c r="Z163">
        <v>1E-4</v>
      </c>
      <c r="AA163">
        <v>1E-4</v>
      </c>
      <c r="AB163" t="s">
        <v>309</v>
      </c>
      <c r="AD163">
        <v>1.6000000000000001E-4</v>
      </c>
      <c r="AE163">
        <v>1.6000000000000001E-4</v>
      </c>
      <c r="AF163" t="s">
        <v>309</v>
      </c>
      <c r="AG163" t="s">
        <v>424</v>
      </c>
      <c r="AH163">
        <v>585078.80099999998</v>
      </c>
      <c r="AI163">
        <v>6916111.6880000001</v>
      </c>
      <c r="AJ163">
        <v>1285.2249999999999</v>
      </c>
      <c r="AK163">
        <v>1286.7449999999999</v>
      </c>
      <c r="AL163">
        <v>1283.7049999999999</v>
      </c>
    </row>
    <row r="164" spans="1:38" x14ac:dyDescent="0.3">
      <c r="A164" t="str">
        <f t="shared" si="2"/>
        <v>CH15-106-MW008Copper (Cu)-Dissolved</v>
      </c>
      <c r="B164">
        <v>1650156</v>
      </c>
      <c r="C164" t="s">
        <v>416</v>
      </c>
      <c r="D164" t="s">
        <v>136</v>
      </c>
      <c r="E164" t="s">
        <v>136</v>
      </c>
      <c r="F164" s="88">
        <v>42528</v>
      </c>
      <c r="G164">
        <v>7.32</v>
      </c>
      <c r="H164">
        <v>10.36</v>
      </c>
      <c r="I164" t="s">
        <v>417</v>
      </c>
      <c r="J164" t="s">
        <v>418</v>
      </c>
      <c r="K164" t="s">
        <v>419</v>
      </c>
      <c r="L164" t="s">
        <v>437</v>
      </c>
      <c r="M164" t="s">
        <v>425</v>
      </c>
      <c r="N164">
        <v>100394570</v>
      </c>
      <c r="O164" t="s">
        <v>507</v>
      </c>
      <c r="P164" t="s">
        <v>508</v>
      </c>
      <c r="Q164">
        <v>7.3999999999999999E-4</v>
      </c>
      <c r="R164" t="s">
        <v>309</v>
      </c>
      <c r="S164">
        <v>2.0000000000000001E-4</v>
      </c>
      <c r="T164" t="s">
        <v>145</v>
      </c>
      <c r="U164" t="s">
        <v>145</v>
      </c>
      <c r="X164" t="s">
        <v>237</v>
      </c>
      <c r="Z164">
        <v>2.0000000000000001E-4</v>
      </c>
      <c r="AA164">
        <v>2.0000000000000001E-4</v>
      </c>
      <c r="AB164" t="s">
        <v>309</v>
      </c>
      <c r="AD164">
        <v>7.3999999999999999E-4</v>
      </c>
      <c r="AE164">
        <v>7.3999999999999999E-4</v>
      </c>
      <c r="AF164" t="s">
        <v>309</v>
      </c>
      <c r="AG164" t="s">
        <v>424</v>
      </c>
      <c r="AH164">
        <v>585078.80099999998</v>
      </c>
      <c r="AI164">
        <v>6916111.6880000001</v>
      </c>
      <c r="AJ164">
        <v>1285.2249999999999</v>
      </c>
      <c r="AK164">
        <v>1286.7449999999999</v>
      </c>
      <c r="AL164">
        <v>1283.7049999999999</v>
      </c>
    </row>
    <row r="165" spans="1:38" x14ac:dyDescent="0.3">
      <c r="A165" t="str">
        <f t="shared" si="2"/>
        <v>CH15-106-MW008Uranium (U)-Dissolved</v>
      </c>
      <c r="B165">
        <v>1650156</v>
      </c>
      <c r="C165" t="s">
        <v>416</v>
      </c>
      <c r="D165" t="s">
        <v>136</v>
      </c>
      <c r="E165" t="s">
        <v>136</v>
      </c>
      <c r="F165" s="88">
        <v>42528</v>
      </c>
      <c r="G165">
        <v>7.32</v>
      </c>
      <c r="H165">
        <v>10.36</v>
      </c>
      <c r="I165" t="s">
        <v>417</v>
      </c>
      <c r="J165" t="s">
        <v>418</v>
      </c>
      <c r="K165" t="s">
        <v>419</v>
      </c>
      <c r="L165" t="s">
        <v>437</v>
      </c>
      <c r="M165" t="s">
        <v>425</v>
      </c>
      <c r="N165">
        <v>100394570</v>
      </c>
      <c r="O165" t="s">
        <v>509</v>
      </c>
      <c r="P165" t="s">
        <v>510</v>
      </c>
      <c r="Q165" s="87">
        <v>4.6999999999999997E-5</v>
      </c>
      <c r="R165" t="s">
        <v>309</v>
      </c>
      <c r="S165">
        <v>1.0000000000000001E-5</v>
      </c>
      <c r="T165" t="s">
        <v>145</v>
      </c>
      <c r="U165" t="s">
        <v>145</v>
      </c>
      <c r="X165" t="s">
        <v>237</v>
      </c>
      <c r="Z165">
        <v>1.0000000000000001E-5</v>
      </c>
      <c r="AA165">
        <v>1.0000000000000001E-5</v>
      </c>
      <c r="AB165" t="s">
        <v>309</v>
      </c>
      <c r="AD165">
        <v>4.6999999999999997E-5</v>
      </c>
      <c r="AE165">
        <v>4.6999999999999997E-5</v>
      </c>
      <c r="AF165" t="s">
        <v>309</v>
      </c>
      <c r="AG165" t="s">
        <v>424</v>
      </c>
      <c r="AH165">
        <v>585078.80099999998</v>
      </c>
      <c r="AI165">
        <v>6916111.6880000001</v>
      </c>
      <c r="AJ165">
        <v>1285.2249999999999</v>
      </c>
      <c r="AK165">
        <v>1286.7449999999999</v>
      </c>
      <c r="AL165">
        <v>1283.7049999999999</v>
      </c>
    </row>
    <row r="166" spans="1:38" x14ac:dyDescent="0.3">
      <c r="A166" t="str">
        <f t="shared" si="2"/>
        <v>CH15-106-MW008Vanadium (V)-Dissolved</v>
      </c>
      <c r="B166">
        <v>1650156</v>
      </c>
      <c r="C166" t="s">
        <v>416</v>
      </c>
      <c r="D166" t="s">
        <v>136</v>
      </c>
      <c r="E166" t="s">
        <v>136</v>
      </c>
      <c r="F166" s="88">
        <v>42528</v>
      </c>
      <c r="G166">
        <v>7.32</v>
      </c>
      <c r="H166">
        <v>10.36</v>
      </c>
      <c r="I166" t="s">
        <v>417</v>
      </c>
      <c r="J166" t="s">
        <v>418</v>
      </c>
      <c r="K166" t="s">
        <v>419</v>
      </c>
      <c r="L166" t="s">
        <v>437</v>
      </c>
      <c r="M166" t="s">
        <v>425</v>
      </c>
      <c r="N166">
        <v>100394570</v>
      </c>
      <c r="O166" t="s">
        <v>511</v>
      </c>
      <c r="P166" t="s">
        <v>512</v>
      </c>
      <c r="Q166">
        <v>5.0000000000000001E-4</v>
      </c>
      <c r="R166" t="s">
        <v>309</v>
      </c>
      <c r="S166">
        <v>5.0000000000000001E-4</v>
      </c>
      <c r="T166" t="s">
        <v>145</v>
      </c>
      <c r="U166" t="s">
        <v>426</v>
      </c>
      <c r="V166" t="s">
        <v>62</v>
      </c>
      <c r="W166" t="s">
        <v>62</v>
      </c>
      <c r="X166" t="s">
        <v>62</v>
      </c>
      <c r="Z166">
        <v>5.0000000000000001E-4</v>
      </c>
      <c r="AA166">
        <v>5.0000000000000001E-4</v>
      </c>
      <c r="AB166" t="s">
        <v>309</v>
      </c>
      <c r="AD166">
        <v>5.0000000000000001E-4</v>
      </c>
      <c r="AE166">
        <v>5.0000000000000001E-4</v>
      </c>
      <c r="AF166" t="s">
        <v>309</v>
      </c>
      <c r="AG166" t="s">
        <v>424</v>
      </c>
      <c r="AH166">
        <v>585078.80099999998</v>
      </c>
      <c r="AI166">
        <v>6916111.6880000001</v>
      </c>
      <c r="AJ166">
        <v>1285.2249999999999</v>
      </c>
      <c r="AK166">
        <v>1286.7449999999999</v>
      </c>
      <c r="AL166">
        <v>1283.7049999999999</v>
      </c>
    </row>
    <row r="167" spans="1:38" x14ac:dyDescent="0.3">
      <c r="A167" t="str">
        <f t="shared" si="2"/>
        <v>CH15-106-MW008Zinc (Zn)-Dissolved</v>
      </c>
      <c r="B167">
        <v>1650156</v>
      </c>
      <c r="C167" t="s">
        <v>416</v>
      </c>
      <c r="D167" t="s">
        <v>136</v>
      </c>
      <c r="E167" t="s">
        <v>136</v>
      </c>
      <c r="F167" s="88">
        <v>42528</v>
      </c>
      <c r="G167">
        <v>7.32</v>
      </c>
      <c r="H167">
        <v>10.36</v>
      </c>
      <c r="I167" t="s">
        <v>417</v>
      </c>
      <c r="J167" t="s">
        <v>418</v>
      </c>
      <c r="K167" t="s">
        <v>419</v>
      </c>
      <c r="L167" t="s">
        <v>437</v>
      </c>
      <c r="M167" t="s">
        <v>425</v>
      </c>
      <c r="N167">
        <v>100394570</v>
      </c>
      <c r="O167" t="s">
        <v>513</v>
      </c>
      <c r="P167" t="s">
        <v>514</v>
      </c>
      <c r="Q167">
        <v>8.1699999999999995E-2</v>
      </c>
      <c r="R167" t="s">
        <v>309</v>
      </c>
      <c r="S167">
        <v>1E-3</v>
      </c>
      <c r="T167" t="s">
        <v>145</v>
      </c>
      <c r="U167" t="s">
        <v>145</v>
      </c>
      <c r="X167" t="s">
        <v>237</v>
      </c>
      <c r="Z167">
        <v>1E-3</v>
      </c>
      <c r="AA167">
        <v>1E-3</v>
      </c>
      <c r="AB167" t="s">
        <v>309</v>
      </c>
      <c r="AD167">
        <v>8.1699999999999995E-2</v>
      </c>
      <c r="AE167">
        <v>8.1699999999999995E-2</v>
      </c>
      <c r="AF167" t="s">
        <v>309</v>
      </c>
      <c r="AG167" t="s">
        <v>424</v>
      </c>
      <c r="AH167">
        <v>585078.80099999998</v>
      </c>
      <c r="AI167">
        <v>6916111.6880000001</v>
      </c>
      <c r="AJ167">
        <v>1285.2249999999999</v>
      </c>
      <c r="AK167">
        <v>1286.7449999999999</v>
      </c>
      <c r="AL167">
        <v>1283.7049999999999</v>
      </c>
    </row>
    <row r="168" spans="1:38" x14ac:dyDescent="0.3">
      <c r="A168" t="str">
        <f t="shared" si="2"/>
        <v>CH15-106-MW008Selenium (Se)-Dissolved</v>
      </c>
      <c r="B168">
        <v>1650156</v>
      </c>
      <c r="C168" t="s">
        <v>416</v>
      </c>
      <c r="D168" t="s">
        <v>136</v>
      </c>
      <c r="E168" t="s">
        <v>136</v>
      </c>
      <c r="F168" s="88">
        <v>42528</v>
      </c>
      <c r="G168">
        <v>7.32</v>
      </c>
      <c r="H168">
        <v>10.36</v>
      </c>
      <c r="I168" t="s">
        <v>417</v>
      </c>
      <c r="J168" t="s">
        <v>418</v>
      </c>
      <c r="K168" t="s">
        <v>419</v>
      </c>
      <c r="L168" t="s">
        <v>437</v>
      </c>
      <c r="M168" t="s">
        <v>425</v>
      </c>
      <c r="N168">
        <v>100394570</v>
      </c>
      <c r="O168" t="s">
        <v>515</v>
      </c>
      <c r="P168" t="s">
        <v>516</v>
      </c>
      <c r="Q168" s="87">
        <v>5.1999999999999997E-5</v>
      </c>
      <c r="R168" t="s">
        <v>309</v>
      </c>
      <c r="S168">
        <v>5.0000000000000002E-5</v>
      </c>
      <c r="T168" t="s">
        <v>145</v>
      </c>
      <c r="U168" t="s">
        <v>145</v>
      </c>
      <c r="X168" t="s">
        <v>237</v>
      </c>
      <c r="Z168">
        <v>5.0000000000000002E-5</v>
      </c>
      <c r="AA168">
        <v>5.0000000000000002E-5</v>
      </c>
      <c r="AB168" t="s">
        <v>309</v>
      </c>
      <c r="AD168">
        <v>5.1999999999999997E-5</v>
      </c>
      <c r="AE168">
        <v>5.1999999999999997E-5</v>
      </c>
      <c r="AF168" t="s">
        <v>309</v>
      </c>
      <c r="AG168" t="s">
        <v>424</v>
      </c>
      <c r="AH168">
        <v>585078.80099999998</v>
      </c>
      <c r="AI168">
        <v>6916111.6880000001</v>
      </c>
      <c r="AJ168">
        <v>1285.2249999999999</v>
      </c>
      <c r="AK168">
        <v>1286.7449999999999</v>
      </c>
      <c r="AL168">
        <v>1283.7049999999999</v>
      </c>
    </row>
    <row r="169" spans="1:38" x14ac:dyDescent="0.3">
      <c r="A169" t="str">
        <f t="shared" si="2"/>
        <v>CH15-106-MW008Lithium, dissolved</v>
      </c>
      <c r="B169">
        <v>1650156</v>
      </c>
      <c r="C169" t="s">
        <v>416</v>
      </c>
      <c r="D169" t="s">
        <v>136</v>
      </c>
      <c r="E169" t="s">
        <v>136</v>
      </c>
      <c r="F169" s="88">
        <v>42528</v>
      </c>
      <c r="G169">
        <v>7.32</v>
      </c>
      <c r="H169">
        <v>10.36</v>
      </c>
      <c r="I169" t="s">
        <v>417</v>
      </c>
      <c r="J169" t="s">
        <v>418</v>
      </c>
      <c r="K169" t="s">
        <v>419</v>
      </c>
      <c r="L169" t="s">
        <v>437</v>
      </c>
      <c r="M169" t="s">
        <v>425</v>
      </c>
      <c r="N169">
        <v>100394571</v>
      </c>
      <c r="O169" t="s">
        <v>517</v>
      </c>
      <c r="P169" t="s">
        <v>518</v>
      </c>
      <c r="Q169">
        <v>3.7000000000000002E-3</v>
      </c>
      <c r="R169" t="s">
        <v>309</v>
      </c>
      <c r="S169">
        <v>1E-3</v>
      </c>
      <c r="T169" t="s">
        <v>145</v>
      </c>
      <c r="U169" t="s">
        <v>145</v>
      </c>
      <c r="X169" t="s">
        <v>237</v>
      </c>
      <c r="Z169">
        <v>1E-3</v>
      </c>
      <c r="AA169">
        <v>1E-3</v>
      </c>
      <c r="AB169" t="s">
        <v>309</v>
      </c>
      <c r="AD169">
        <v>3.7000000000000002E-3</v>
      </c>
      <c r="AE169">
        <v>3.7000000000000002E-3</v>
      </c>
      <c r="AF169" t="s">
        <v>309</v>
      </c>
      <c r="AG169" t="s">
        <v>424</v>
      </c>
      <c r="AH169">
        <v>585078.80099999998</v>
      </c>
      <c r="AI169">
        <v>6916111.6880000001</v>
      </c>
      <c r="AJ169">
        <v>1285.2249999999999</v>
      </c>
      <c r="AK169">
        <v>1286.7449999999999</v>
      </c>
      <c r="AL169">
        <v>1283.7049999999999</v>
      </c>
    </row>
    <row r="170" spans="1:38" x14ac:dyDescent="0.3">
      <c r="A170" t="str">
        <f t="shared" si="2"/>
        <v>CH15-106-MW008Mercury, dissolved</v>
      </c>
      <c r="B170">
        <v>1650156</v>
      </c>
      <c r="C170" t="s">
        <v>416</v>
      </c>
      <c r="D170" t="s">
        <v>136</v>
      </c>
      <c r="E170" t="s">
        <v>136</v>
      </c>
      <c r="F170" s="88">
        <v>42528</v>
      </c>
      <c r="G170">
        <v>7.32</v>
      </c>
      <c r="H170">
        <v>10.36</v>
      </c>
      <c r="I170" t="s">
        <v>417</v>
      </c>
      <c r="J170" t="s">
        <v>418</v>
      </c>
      <c r="K170" t="s">
        <v>419</v>
      </c>
      <c r="L170" t="s">
        <v>437</v>
      </c>
      <c r="M170" t="s">
        <v>425</v>
      </c>
      <c r="N170">
        <v>100394573</v>
      </c>
      <c r="O170" t="s">
        <v>438</v>
      </c>
      <c r="P170" t="s">
        <v>439</v>
      </c>
      <c r="Q170" s="87">
        <v>5.0000000000000004E-6</v>
      </c>
      <c r="R170" t="s">
        <v>309</v>
      </c>
      <c r="S170">
        <v>5.0000000000000004E-6</v>
      </c>
      <c r="T170" t="s">
        <v>145</v>
      </c>
      <c r="U170" t="s">
        <v>426</v>
      </c>
      <c r="V170" t="s">
        <v>62</v>
      </c>
      <c r="W170" t="s">
        <v>62</v>
      </c>
      <c r="X170" t="s">
        <v>62</v>
      </c>
      <c r="Z170">
        <v>5.0000000000000004E-6</v>
      </c>
      <c r="AA170">
        <v>5.0000000000000004E-6</v>
      </c>
      <c r="AB170" t="s">
        <v>309</v>
      </c>
      <c r="AD170">
        <v>5.0000000000000004E-6</v>
      </c>
      <c r="AE170">
        <v>5.0000000000000004E-6</v>
      </c>
      <c r="AF170" t="s">
        <v>309</v>
      </c>
      <c r="AG170" t="s">
        <v>424</v>
      </c>
      <c r="AH170">
        <v>585078.80099999998</v>
      </c>
      <c r="AI170">
        <v>6916111.6880000001</v>
      </c>
      <c r="AJ170">
        <v>1285.2249999999999</v>
      </c>
      <c r="AK170">
        <v>1286.7449999999999</v>
      </c>
      <c r="AL170">
        <v>1283.7049999999999</v>
      </c>
    </row>
    <row r="171" spans="1:38" x14ac:dyDescent="0.3">
      <c r="A171" t="str">
        <f t="shared" si="2"/>
        <v>CH15-106-MW008Ferrous Iron, dissolved</v>
      </c>
      <c r="B171">
        <v>1650156</v>
      </c>
      <c r="C171" t="s">
        <v>416</v>
      </c>
      <c r="D171" t="s">
        <v>136</v>
      </c>
      <c r="E171" t="s">
        <v>136</v>
      </c>
      <c r="F171" s="88">
        <v>42528</v>
      </c>
      <c r="G171">
        <v>7.32</v>
      </c>
      <c r="H171">
        <v>10.36</v>
      </c>
      <c r="I171" t="s">
        <v>417</v>
      </c>
      <c r="J171" t="s">
        <v>418</v>
      </c>
      <c r="K171" t="s">
        <v>419</v>
      </c>
      <c r="L171" t="s">
        <v>437</v>
      </c>
      <c r="M171" t="s">
        <v>425</v>
      </c>
      <c r="N171">
        <v>100394574</v>
      </c>
      <c r="O171" t="s">
        <v>440</v>
      </c>
      <c r="P171" t="s">
        <v>441</v>
      </c>
      <c r="Q171">
        <v>2.3E-2</v>
      </c>
      <c r="R171" t="s">
        <v>309</v>
      </c>
      <c r="S171">
        <v>0.02</v>
      </c>
      <c r="T171" t="s">
        <v>145</v>
      </c>
      <c r="U171" t="s">
        <v>145</v>
      </c>
      <c r="X171" t="s">
        <v>237</v>
      </c>
      <c r="Z171">
        <v>0.02</v>
      </c>
      <c r="AA171">
        <v>0.02</v>
      </c>
      <c r="AB171" t="s">
        <v>309</v>
      </c>
      <c r="AD171">
        <v>2.3E-2</v>
      </c>
      <c r="AE171">
        <v>2.3E-2</v>
      </c>
      <c r="AF171" t="s">
        <v>309</v>
      </c>
      <c r="AG171" t="s">
        <v>424</v>
      </c>
      <c r="AH171">
        <v>585078.80099999998</v>
      </c>
      <c r="AI171">
        <v>6916111.6880000001</v>
      </c>
      <c r="AJ171">
        <v>1285.2249999999999</v>
      </c>
      <c r="AK171">
        <v>1286.7449999999999</v>
      </c>
      <c r="AL171">
        <v>1283.7049999999999</v>
      </c>
    </row>
    <row r="172" spans="1:38" x14ac:dyDescent="0.3">
      <c r="A172" t="str">
        <f t="shared" si="2"/>
        <v>CH15-106-MW008Ammonia</v>
      </c>
      <c r="B172">
        <v>1650156</v>
      </c>
      <c r="C172" t="s">
        <v>416</v>
      </c>
      <c r="D172" t="s">
        <v>136</v>
      </c>
      <c r="E172" t="s">
        <v>136</v>
      </c>
      <c r="F172" s="88">
        <v>42528</v>
      </c>
      <c r="G172">
        <v>7.32</v>
      </c>
      <c r="H172">
        <v>10.36</v>
      </c>
      <c r="I172" t="s">
        <v>417</v>
      </c>
      <c r="J172" t="s">
        <v>418</v>
      </c>
      <c r="K172" t="s">
        <v>419</v>
      </c>
      <c r="L172" t="s">
        <v>420</v>
      </c>
      <c r="M172" t="s">
        <v>425</v>
      </c>
      <c r="N172">
        <v>100394575</v>
      </c>
      <c r="O172" t="s">
        <v>442</v>
      </c>
      <c r="P172" t="s">
        <v>338</v>
      </c>
      <c r="Q172">
        <v>5.0000000000000001E-3</v>
      </c>
      <c r="R172" t="s">
        <v>309</v>
      </c>
      <c r="S172">
        <v>5.0000000000000001E-3</v>
      </c>
      <c r="T172" t="s">
        <v>145</v>
      </c>
      <c r="U172" t="s">
        <v>426</v>
      </c>
      <c r="V172" t="s">
        <v>62</v>
      </c>
      <c r="W172" t="s">
        <v>62</v>
      </c>
      <c r="X172" t="s">
        <v>62</v>
      </c>
      <c r="Z172">
        <v>5.0000000000000001E-3</v>
      </c>
      <c r="AA172">
        <v>5.0000000000000001E-3</v>
      </c>
      <c r="AB172" t="s">
        <v>309</v>
      </c>
      <c r="AD172">
        <v>5.0000000000000001E-3</v>
      </c>
      <c r="AE172">
        <v>5.0000000000000001E-3</v>
      </c>
      <c r="AF172" t="s">
        <v>309</v>
      </c>
      <c r="AG172" t="s">
        <v>424</v>
      </c>
      <c r="AH172">
        <v>585078.80099999998</v>
      </c>
      <c r="AI172">
        <v>6916111.6880000001</v>
      </c>
      <c r="AJ172">
        <v>1285.2249999999999</v>
      </c>
      <c r="AK172">
        <v>1286.7449999999999</v>
      </c>
      <c r="AL172">
        <v>1283.7049999999999</v>
      </c>
    </row>
    <row r="173" spans="1:38" x14ac:dyDescent="0.3">
      <c r="A173" t="str">
        <f t="shared" si="2"/>
        <v>CH15-106-MW008Acidity, hot peroxide</v>
      </c>
      <c r="B173">
        <v>1650156</v>
      </c>
      <c r="C173" t="s">
        <v>416</v>
      </c>
      <c r="D173" t="s">
        <v>136</v>
      </c>
      <c r="E173" t="s">
        <v>136</v>
      </c>
      <c r="F173" s="88">
        <v>42528</v>
      </c>
      <c r="G173">
        <v>7.32</v>
      </c>
      <c r="H173">
        <v>10.36</v>
      </c>
      <c r="I173" t="s">
        <v>417</v>
      </c>
      <c r="J173" t="s">
        <v>418</v>
      </c>
      <c r="K173" t="s">
        <v>419</v>
      </c>
      <c r="L173" t="s">
        <v>420</v>
      </c>
      <c r="M173" t="s">
        <v>425</v>
      </c>
      <c r="N173">
        <v>100394576</v>
      </c>
      <c r="O173" t="s">
        <v>443</v>
      </c>
      <c r="P173" t="s">
        <v>444</v>
      </c>
      <c r="Q173">
        <v>25</v>
      </c>
      <c r="R173" t="s">
        <v>309</v>
      </c>
      <c r="S173">
        <v>25</v>
      </c>
      <c r="T173" t="s">
        <v>145</v>
      </c>
      <c r="U173" t="s">
        <v>426</v>
      </c>
      <c r="V173" t="s">
        <v>62</v>
      </c>
      <c r="W173" t="s">
        <v>62</v>
      </c>
      <c r="X173" t="s">
        <v>62</v>
      </c>
      <c r="Z173">
        <v>25</v>
      </c>
      <c r="AA173">
        <v>25</v>
      </c>
      <c r="AB173" t="s">
        <v>309</v>
      </c>
      <c r="AD173">
        <v>25</v>
      </c>
      <c r="AE173">
        <v>25</v>
      </c>
      <c r="AF173" t="s">
        <v>309</v>
      </c>
      <c r="AG173" t="s">
        <v>424</v>
      </c>
      <c r="AH173">
        <v>585078.80099999998</v>
      </c>
      <c r="AI173">
        <v>6916111.6880000001</v>
      </c>
      <c r="AJ173">
        <v>1285.2249999999999</v>
      </c>
      <c r="AK173">
        <v>1286.7449999999999</v>
      </c>
      <c r="AL173">
        <v>1283.7049999999999</v>
      </c>
    </row>
    <row r="174" spans="1:38" x14ac:dyDescent="0.3">
      <c r="A174" t="str">
        <f t="shared" si="2"/>
        <v>CH15-106-MW008Alkalinity, Total (as CaCO3)</v>
      </c>
      <c r="B174">
        <v>1650156</v>
      </c>
      <c r="C174" t="s">
        <v>416</v>
      </c>
      <c r="D174" t="s">
        <v>136</v>
      </c>
      <c r="E174" t="s">
        <v>136</v>
      </c>
      <c r="F174" s="88">
        <v>42528</v>
      </c>
      <c r="G174">
        <v>7.32</v>
      </c>
      <c r="H174">
        <v>10.36</v>
      </c>
      <c r="I174" t="s">
        <v>417</v>
      </c>
      <c r="J174" t="s">
        <v>418</v>
      </c>
      <c r="K174" t="s">
        <v>419</v>
      </c>
      <c r="L174" t="s">
        <v>420</v>
      </c>
      <c r="M174" t="s">
        <v>425</v>
      </c>
      <c r="N174">
        <v>100394577</v>
      </c>
      <c r="O174" t="s">
        <v>445</v>
      </c>
      <c r="P174" t="s">
        <v>337</v>
      </c>
      <c r="Q174">
        <v>74.5</v>
      </c>
      <c r="R174" t="s">
        <v>309</v>
      </c>
      <c r="S174">
        <v>1</v>
      </c>
      <c r="T174" t="s">
        <v>145</v>
      </c>
      <c r="U174" t="s">
        <v>145</v>
      </c>
      <c r="X174" t="s">
        <v>237</v>
      </c>
      <c r="Z174">
        <v>1</v>
      </c>
      <c r="AA174">
        <v>1</v>
      </c>
      <c r="AB174" t="s">
        <v>309</v>
      </c>
      <c r="AD174">
        <v>74.5</v>
      </c>
      <c r="AE174">
        <v>74.5</v>
      </c>
      <c r="AF174" t="s">
        <v>309</v>
      </c>
      <c r="AG174" t="s">
        <v>424</v>
      </c>
      <c r="AH174">
        <v>585078.80099999998</v>
      </c>
      <c r="AI174">
        <v>6916111.6880000001</v>
      </c>
      <c r="AJ174">
        <v>1285.2249999999999</v>
      </c>
      <c r="AK174">
        <v>1286.7449999999999</v>
      </c>
      <c r="AL174">
        <v>1283.7049999999999</v>
      </c>
    </row>
    <row r="175" spans="1:38" x14ac:dyDescent="0.3">
      <c r="A175" t="str">
        <f t="shared" si="2"/>
        <v>CH15-106-MW008Alkalinity, Bicarbonate (as CaCO3)</v>
      </c>
      <c r="B175">
        <v>1650156</v>
      </c>
      <c r="C175" t="s">
        <v>416</v>
      </c>
      <c r="D175" t="s">
        <v>136</v>
      </c>
      <c r="E175" t="s">
        <v>136</v>
      </c>
      <c r="F175" s="88">
        <v>42528</v>
      </c>
      <c r="G175">
        <v>7.32</v>
      </c>
      <c r="H175">
        <v>10.36</v>
      </c>
      <c r="I175" t="s">
        <v>417</v>
      </c>
      <c r="J175" t="s">
        <v>418</v>
      </c>
      <c r="K175" t="s">
        <v>419</v>
      </c>
      <c r="L175" t="s">
        <v>420</v>
      </c>
      <c r="M175" t="s">
        <v>425</v>
      </c>
      <c r="N175">
        <v>100394577</v>
      </c>
      <c r="O175" t="s">
        <v>446</v>
      </c>
      <c r="P175" t="s">
        <v>334</v>
      </c>
      <c r="Q175">
        <v>74.5</v>
      </c>
      <c r="R175" t="s">
        <v>309</v>
      </c>
      <c r="S175">
        <v>1</v>
      </c>
      <c r="T175" t="s">
        <v>145</v>
      </c>
      <c r="U175" t="s">
        <v>145</v>
      </c>
      <c r="X175" t="s">
        <v>237</v>
      </c>
      <c r="Z175">
        <v>1</v>
      </c>
      <c r="AA175">
        <v>1</v>
      </c>
      <c r="AB175" t="s">
        <v>309</v>
      </c>
      <c r="AD175">
        <v>74.5</v>
      </c>
      <c r="AE175">
        <v>74.5</v>
      </c>
      <c r="AF175" t="s">
        <v>309</v>
      </c>
      <c r="AG175" t="s">
        <v>424</v>
      </c>
      <c r="AH175">
        <v>585078.80099999998</v>
      </c>
      <c r="AI175">
        <v>6916111.6880000001</v>
      </c>
      <c r="AJ175">
        <v>1285.2249999999999</v>
      </c>
      <c r="AK175">
        <v>1286.7449999999999</v>
      </c>
      <c r="AL175">
        <v>1283.7049999999999</v>
      </c>
    </row>
    <row r="176" spans="1:38" x14ac:dyDescent="0.3">
      <c r="A176" t="str">
        <f t="shared" si="2"/>
        <v>CH15-106-MW008Alkalinity, Carbonate (as CaCO3)</v>
      </c>
      <c r="B176">
        <v>1650156</v>
      </c>
      <c r="C176" t="s">
        <v>416</v>
      </c>
      <c r="D176" t="s">
        <v>136</v>
      </c>
      <c r="E176" t="s">
        <v>136</v>
      </c>
      <c r="F176" s="88">
        <v>42528</v>
      </c>
      <c r="G176">
        <v>7.32</v>
      </c>
      <c r="H176">
        <v>10.36</v>
      </c>
      <c r="I176" t="s">
        <v>417</v>
      </c>
      <c r="J176" t="s">
        <v>418</v>
      </c>
      <c r="K176" t="s">
        <v>419</v>
      </c>
      <c r="L176" t="s">
        <v>420</v>
      </c>
      <c r="M176" t="s">
        <v>425</v>
      </c>
      <c r="N176">
        <v>100394577</v>
      </c>
      <c r="O176" t="s">
        <v>447</v>
      </c>
      <c r="P176" t="s">
        <v>335</v>
      </c>
      <c r="Q176">
        <v>1</v>
      </c>
      <c r="R176" t="s">
        <v>309</v>
      </c>
      <c r="S176">
        <v>1</v>
      </c>
      <c r="T176" t="s">
        <v>145</v>
      </c>
      <c r="U176" t="s">
        <v>426</v>
      </c>
      <c r="V176" t="s">
        <v>62</v>
      </c>
      <c r="W176" t="s">
        <v>62</v>
      </c>
      <c r="X176" t="s">
        <v>62</v>
      </c>
      <c r="Z176">
        <v>1</v>
      </c>
      <c r="AA176">
        <v>1</v>
      </c>
      <c r="AB176" t="s">
        <v>309</v>
      </c>
      <c r="AD176">
        <v>1</v>
      </c>
      <c r="AE176">
        <v>1</v>
      </c>
      <c r="AF176" t="s">
        <v>309</v>
      </c>
      <c r="AG176" t="s">
        <v>424</v>
      </c>
      <c r="AH176">
        <v>585078.80099999998</v>
      </c>
      <c r="AI176">
        <v>6916111.6880000001</v>
      </c>
      <c r="AJ176">
        <v>1285.2249999999999</v>
      </c>
      <c r="AK176">
        <v>1286.7449999999999</v>
      </c>
      <c r="AL176">
        <v>1283.7049999999999</v>
      </c>
    </row>
    <row r="177" spans="1:38" x14ac:dyDescent="0.3">
      <c r="A177" t="str">
        <f t="shared" si="2"/>
        <v>CH15-106-MW008Alkalinity, Hydroxide (as CaCO3)</v>
      </c>
      <c r="B177">
        <v>1650156</v>
      </c>
      <c r="C177" t="s">
        <v>416</v>
      </c>
      <c r="D177" t="s">
        <v>136</v>
      </c>
      <c r="E177" t="s">
        <v>136</v>
      </c>
      <c r="F177" s="88">
        <v>42528</v>
      </c>
      <c r="G177">
        <v>7.32</v>
      </c>
      <c r="H177">
        <v>10.36</v>
      </c>
      <c r="I177" t="s">
        <v>417</v>
      </c>
      <c r="J177" t="s">
        <v>418</v>
      </c>
      <c r="K177" t="s">
        <v>419</v>
      </c>
      <c r="L177" t="s">
        <v>420</v>
      </c>
      <c r="M177" t="s">
        <v>425</v>
      </c>
      <c r="N177">
        <v>100394577</v>
      </c>
      <c r="O177" t="s">
        <v>448</v>
      </c>
      <c r="P177" t="s">
        <v>336</v>
      </c>
      <c r="Q177">
        <v>1</v>
      </c>
      <c r="R177" t="s">
        <v>309</v>
      </c>
      <c r="S177">
        <v>1</v>
      </c>
      <c r="T177" t="s">
        <v>145</v>
      </c>
      <c r="U177" t="s">
        <v>426</v>
      </c>
      <c r="V177" t="s">
        <v>62</v>
      </c>
      <c r="W177" t="s">
        <v>62</v>
      </c>
      <c r="X177" t="s">
        <v>62</v>
      </c>
      <c r="Z177">
        <v>1</v>
      </c>
      <c r="AA177">
        <v>1</v>
      </c>
      <c r="AB177" t="s">
        <v>309</v>
      </c>
      <c r="AD177">
        <v>1</v>
      </c>
      <c r="AE177">
        <v>1</v>
      </c>
      <c r="AF177" t="s">
        <v>309</v>
      </c>
      <c r="AG177" t="s">
        <v>424</v>
      </c>
      <c r="AH177">
        <v>585078.80099999998</v>
      </c>
      <c r="AI177">
        <v>6916111.6880000001</v>
      </c>
      <c r="AJ177">
        <v>1285.2249999999999</v>
      </c>
      <c r="AK177">
        <v>1286.7449999999999</v>
      </c>
      <c r="AL177">
        <v>1283.7049999999999</v>
      </c>
    </row>
    <row r="178" spans="1:38" x14ac:dyDescent="0.3">
      <c r="A178" t="str">
        <f t="shared" si="2"/>
        <v>CH15-106-MW008Hardness (as CaCO3)</v>
      </c>
      <c r="B178">
        <v>1650156</v>
      </c>
      <c r="C178" t="s">
        <v>416</v>
      </c>
      <c r="D178" t="s">
        <v>136</v>
      </c>
      <c r="E178" t="s">
        <v>136</v>
      </c>
      <c r="F178" s="88">
        <v>42528</v>
      </c>
      <c r="G178">
        <v>7.32</v>
      </c>
      <c r="H178">
        <v>10.36</v>
      </c>
      <c r="I178" t="s">
        <v>417</v>
      </c>
      <c r="J178" t="s">
        <v>418</v>
      </c>
      <c r="K178" t="s">
        <v>419</v>
      </c>
      <c r="L178" t="s">
        <v>420</v>
      </c>
      <c r="M178" t="s">
        <v>425</v>
      </c>
      <c r="N178">
        <v>100394578</v>
      </c>
      <c r="O178" t="s">
        <v>449</v>
      </c>
      <c r="P178" t="s">
        <v>329</v>
      </c>
      <c r="Q178">
        <v>116</v>
      </c>
      <c r="R178" t="s">
        <v>309</v>
      </c>
      <c r="S178">
        <v>0.5</v>
      </c>
      <c r="T178" t="s">
        <v>145</v>
      </c>
      <c r="U178" t="s">
        <v>145</v>
      </c>
      <c r="X178" t="s">
        <v>237</v>
      </c>
      <c r="Z178">
        <v>0.5</v>
      </c>
      <c r="AA178">
        <v>0.5</v>
      </c>
      <c r="AB178" t="s">
        <v>309</v>
      </c>
      <c r="AD178">
        <v>116</v>
      </c>
      <c r="AE178">
        <v>116</v>
      </c>
      <c r="AF178" t="s">
        <v>309</v>
      </c>
      <c r="AG178" t="s">
        <v>424</v>
      </c>
      <c r="AH178">
        <v>585078.80099999998</v>
      </c>
      <c r="AI178">
        <v>6916111.6880000001</v>
      </c>
      <c r="AJ178">
        <v>1285.2249999999999</v>
      </c>
      <c r="AK178">
        <v>1286.7449999999999</v>
      </c>
      <c r="AL178">
        <v>1283.7049999999999</v>
      </c>
    </row>
    <row r="179" spans="1:38" x14ac:dyDescent="0.3">
      <c r="A179" t="str">
        <f t="shared" si="2"/>
        <v>CH15-106-MW008Total dissolved solids</v>
      </c>
      <c r="B179">
        <v>1650156</v>
      </c>
      <c r="C179" t="s">
        <v>416</v>
      </c>
      <c r="D179" t="s">
        <v>136</v>
      </c>
      <c r="E179" t="s">
        <v>136</v>
      </c>
      <c r="F179" s="88">
        <v>42528</v>
      </c>
      <c r="G179">
        <v>7.32</v>
      </c>
      <c r="H179">
        <v>10.36</v>
      </c>
      <c r="I179" t="s">
        <v>417</v>
      </c>
      <c r="J179" t="s">
        <v>418</v>
      </c>
      <c r="K179" t="s">
        <v>419</v>
      </c>
      <c r="L179" t="s">
        <v>420</v>
      </c>
      <c r="M179" t="s">
        <v>425</v>
      </c>
      <c r="N179">
        <v>100394579</v>
      </c>
      <c r="O179" t="s">
        <v>422</v>
      </c>
      <c r="P179" t="s">
        <v>423</v>
      </c>
      <c r="Q179">
        <v>182</v>
      </c>
      <c r="R179" t="s">
        <v>309</v>
      </c>
      <c r="S179">
        <v>20</v>
      </c>
      <c r="T179" t="s">
        <v>145</v>
      </c>
      <c r="U179" t="s">
        <v>145</v>
      </c>
      <c r="V179" t="s">
        <v>60</v>
      </c>
      <c r="W179" t="s">
        <v>60</v>
      </c>
      <c r="X179" t="s">
        <v>237</v>
      </c>
      <c r="Z179">
        <v>20</v>
      </c>
      <c r="AA179">
        <v>20</v>
      </c>
      <c r="AB179" t="s">
        <v>309</v>
      </c>
      <c r="AD179">
        <v>182</v>
      </c>
      <c r="AE179">
        <v>182</v>
      </c>
      <c r="AF179" t="s">
        <v>309</v>
      </c>
      <c r="AG179" t="s">
        <v>424</v>
      </c>
      <c r="AH179">
        <v>585078.80099999998</v>
      </c>
      <c r="AI179">
        <v>6916111.6880000001</v>
      </c>
      <c r="AJ179">
        <v>1285.2249999999999</v>
      </c>
      <c r="AK179">
        <v>1286.7449999999999</v>
      </c>
      <c r="AL179">
        <v>1283.7049999999999</v>
      </c>
    </row>
    <row r="180" spans="1:38" x14ac:dyDescent="0.3">
      <c r="A180" t="str">
        <f t="shared" si="2"/>
        <v>CH15-106-MW008Total Suspended Solids</v>
      </c>
      <c r="B180">
        <v>1650156</v>
      </c>
      <c r="C180" t="s">
        <v>416</v>
      </c>
      <c r="D180" t="s">
        <v>136</v>
      </c>
      <c r="E180" t="s">
        <v>136</v>
      </c>
      <c r="F180" s="88">
        <v>42528</v>
      </c>
      <c r="G180">
        <v>7.32</v>
      </c>
      <c r="H180">
        <v>10.36</v>
      </c>
      <c r="I180" t="s">
        <v>417</v>
      </c>
      <c r="J180" t="s">
        <v>418</v>
      </c>
      <c r="K180" t="s">
        <v>419</v>
      </c>
      <c r="L180" t="s">
        <v>420</v>
      </c>
      <c r="M180" t="s">
        <v>425</v>
      </c>
      <c r="N180">
        <v>100394580</v>
      </c>
      <c r="O180" t="s">
        <v>450</v>
      </c>
      <c r="P180" t="s">
        <v>330</v>
      </c>
      <c r="Q180">
        <v>9.6</v>
      </c>
      <c r="R180" t="s">
        <v>309</v>
      </c>
      <c r="S180">
        <v>2</v>
      </c>
      <c r="T180" t="s">
        <v>145</v>
      </c>
      <c r="U180" t="s">
        <v>145</v>
      </c>
      <c r="V180" t="s">
        <v>60</v>
      </c>
      <c r="W180" t="s">
        <v>60</v>
      </c>
      <c r="X180" t="s">
        <v>237</v>
      </c>
      <c r="Z180">
        <v>2</v>
      </c>
      <c r="AA180">
        <v>2</v>
      </c>
      <c r="AB180" t="s">
        <v>309</v>
      </c>
      <c r="AD180">
        <v>9.6</v>
      </c>
      <c r="AE180">
        <v>9.6</v>
      </c>
      <c r="AF180" t="s">
        <v>309</v>
      </c>
      <c r="AG180" t="s">
        <v>424</v>
      </c>
      <c r="AH180">
        <v>585078.80099999998</v>
      </c>
      <c r="AI180">
        <v>6916111.6880000001</v>
      </c>
      <c r="AJ180">
        <v>1285.2249999999999</v>
      </c>
      <c r="AK180">
        <v>1286.7449999999999</v>
      </c>
      <c r="AL180">
        <v>1283.7049999999999</v>
      </c>
    </row>
    <row r="181" spans="1:38" x14ac:dyDescent="0.3">
      <c r="A181" t="str">
        <f t="shared" si="2"/>
        <v>CH15-106-MW008Nitrate (as N)</v>
      </c>
      <c r="B181">
        <v>1650156</v>
      </c>
      <c r="C181" t="s">
        <v>416</v>
      </c>
      <c r="D181" t="s">
        <v>136</v>
      </c>
      <c r="E181" t="s">
        <v>136</v>
      </c>
      <c r="F181" s="88">
        <v>42528</v>
      </c>
      <c r="G181">
        <v>7.32</v>
      </c>
      <c r="H181">
        <v>10.36</v>
      </c>
      <c r="I181" t="s">
        <v>417</v>
      </c>
      <c r="J181" t="s">
        <v>418</v>
      </c>
      <c r="K181" t="s">
        <v>419</v>
      </c>
      <c r="L181" t="s">
        <v>420</v>
      </c>
      <c r="M181" t="s">
        <v>425</v>
      </c>
      <c r="N181">
        <v>100394581</v>
      </c>
      <c r="O181" t="s">
        <v>451</v>
      </c>
      <c r="P181" t="s">
        <v>341</v>
      </c>
      <c r="Q181">
        <v>0.113</v>
      </c>
      <c r="R181" t="s">
        <v>309</v>
      </c>
      <c r="S181">
        <v>5.0000000000000001E-3</v>
      </c>
      <c r="T181" t="s">
        <v>145</v>
      </c>
      <c r="U181" t="s">
        <v>145</v>
      </c>
      <c r="X181" t="s">
        <v>237</v>
      </c>
      <c r="Z181">
        <v>5.0000000000000001E-3</v>
      </c>
      <c r="AA181">
        <v>5.0000000000000001E-3</v>
      </c>
      <c r="AB181" t="s">
        <v>309</v>
      </c>
      <c r="AD181">
        <v>0.113</v>
      </c>
      <c r="AE181">
        <v>0.113</v>
      </c>
      <c r="AF181" t="s">
        <v>309</v>
      </c>
      <c r="AG181" t="s">
        <v>424</v>
      </c>
      <c r="AH181">
        <v>585078.80099999998</v>
      </c>
      <c r="AI181">
        <v>6916111.6880000001</v>
      </c>
      <c r="AJ181">
        <v>1285.2249999999999</v>
      </c>
      <c r="AK181">
        <v>1286.7449999999999</v>
      </c>
      <c r="AL181">
        <v>1283.7049999999999</v>
      </c>
    </row>
    <row r="182" spans="1:38" x14ac:dyDescent="0.3">
      <c r="A182" t="str">
        <f t="shared" si="2"/>
        <v>CH15-106-MW008Nitrite (as N)</v>
      </c>
      <c r="B182">
        <v>1650156</v>
      </c>
      <c r="C182" t="s">
        <v>416</v>
      </c>
      <c r="D182" t="s">
        <v>136</v>
      </c>
      <c r="E182" t="s">
        <v>136</v>
      </c>
      <c r="F182" s="88">
        <v>42528</v>
      </c>
      <c r="G182">
        <v>7.32</v>
      </c>
      <c r="H182">
        <v>10.36</v>
      </c>
      <c r="I182" t="s">
        <v>417</v>
      </c>
      <c r="J182" t="s">
        <v>418</v>
      </c>
      <c r="K182" t="s">
        <v>419</v>
      </c>
      <c r="L182" t="s">
        <v>420</v>
      </c>
      <c r="M182" t="s">
        <v>425</v>
      </c>
      <c r="N182">
        <v>100394581</v>
      </c>
      <c r="O182" t="s">
        <v>452</v>
      </c>
      <c r="P182" t="s">
        <v>342</v>
      </c>
      <c r="Q182">
        <v>1E-3</v>
      </c>
      <c r="R182" t="s">
        <v>309</v>
      </c>
      <c r="S182">
        <v>1E-3</v>
      </c>
      <c r="T182" t="s">
        <v>145</v>
      </c>
      <c r="U182" t="s">
        <v>426</v>
      </c>
      <c r="V182" t="s">
        <v>62</v>
      </c>
      <c r="W182" t="s">
        <v>62</v>
      </c>
      <c r="X182" t="s">
        <v>62</v>
      </c>
      <c r="Z182">
        <v>1E-3</v>
      </c>
      <c r="AA182">
        <v>1E-3</v>
      </c>
      <c r="AB182" t="s">
        <v>309</v>
      </c>
      <c r="AD182">
        <v>1E-3</v>
      </c>
      <c r="AE182">
        <v>1E-3</v>
      </c>
      <c r="AF182" t="s">
        <v>309</v>
      </c>
      <c r="AG182" t="s">
        <v>424</v>
      </c>
      <c r="AH182">
        <v>585078.80099999998</v>
      </c>
      <c r="AI182">
        <v>6916111.6880000001</v>
      </c>
      <c r="AJ182">
        <v>1285.2249999999999</v>
      </c>
      <c r="AK182">
        <v>1286.7449999999999</v>
      </c>
      <c r="AL182">
        <v>1283.7049999999999</v>
      </c>
    </row>
    <row r="183" spans="1:38" x14ac:dyDescent="0.3">
      <c r="A183" t="str">
        <f t="shared" si="2"/>
        <v>CH15-106-MW008Sulfate</v>
      </c>
      <c r="B183">
        <v>1650156</v>
      </c>
      <c r="C183" t="s">
        <v>416</v>
      </c>
      <c r="D183" t="s">
        <v>136</v>
      </c>
      <c r="E183" t="s">
        <v>136</v>
      </c>
      <c r="F183" s="88">
        <v>42528</v>
      </c>
      <c r="G183">
        <v>7.32</v>
      </c>
      <c r="H183">
        <v>10.36</v>
      </c>
      <c r="I183" t="s">
        <v>417</v>
      </c>
      <c r="J183" t="s">
        <v>418</v>
      </c>
      <c r="K183" t="s">
        <v>419</v>
      </c>
      <c r="L183" t="s">
        <v>420</v>
      </c>
      <c r="M183" t="s">
        <v>425</v>
      </c>
      <c r="N183">
        <v>100394581</v>
      </c>
      <c r="O183" t="s">
        <v>453</v>
      </c>
      <c r="P183" t="s">
        <v>343</v>
      </c>
      <c r="Q183">
        <v>43.4</v>
      </c>
      <c r="R183" t="s">
        <v>309</v>
      </c>
      <c r="S183">
        <v>0.3</v>
      </c>
      <c r="T183" t="s">
        <v>145</v>
      </c>
      <c r="U183" t="s">
        <v>145</v>
      </c>
      <c r="X183" t="s">
        <v>237</v>
      </c>
      <c r="Z183">
        <v>0.3</v>
      </c>
      <c r="AA183">
        <v>0.3</v>
      </c>
      <c r="AB183" t="s">
        <v>309</v>
      </c>
      <c r="AD183">
        <v>43.4</v>
      </c>
      <c r="AE183">
        <v>43.4</v>
      </c>
      <c r="AF183" t="s">
        <v>309</v>
      </c>
      <c r="AG183" t="s">
        <v>424</v>
      </c>
      <c r="AH183">
        <v>585078.80099999998</v>
      </c>
      <c r="AI183">
        <v>6916111.6880000001</v>
      </c>
      <c r="AJ183">
        <v>1285.2249999999999</v>
      </c>
      <c r="AK183">
        <v>1286.7449999999999</v>
      </c>
      <c r="AL183">
        <v>1283.7049999999999</v>
      </c>
    </row>
    <row r="184" spans="1:38" x14ac:dyDescent="0.3">
      <c r="A184" t="str">
        <f t="shared" si="2"/>
        <v>CH15-106-MW008Chloride (Cl)</v>
      </c>
      <c r="B184">
        <v>1650156</v>
      </c>
      <c r="C184" t="s">
        <v>416</v>
      </c>
      <c r="D184" t="s">
        <v>136</v>
      </c>
      <c r="E184" t="s">
        <v>136</v>
      </c>
      <c r="F184" s="88">
        <v>42528</v>
      </c>
      <c r="G184">
        <v>7.32</v>
      </c>
      <c r="H184">
        <v>10.36</v>
      </c>
      <c r="I184" t="s">
        <v>417</v>
      </c>
      <c r="J184" t="s">
        <v>418</v>
      </c>
      <c r="K184" t="s">
        <v>419</v>
      </c>
      <c r="L184" t="s">
        <v>420</v>
      </c>
      <c r="M184" t="s">
        <v>425</v>
      </c>
      <c r="N184">
        <v>100394581</v>
      </c>
      <c r="O184" t="s">
        <v>454</v>
      </c>
      <c r="P184" t="s">
        <v>339</v>
      </c>
      <c r="Q184">
        <v>0.5</v>
      </c>
      <c r="R184" t="s">
        <v>309</v>
      </c>
      <c r="S184">
        <v>0.5</v>
      </c>
      <c r="T184" t="s">
        <v>145</v>
      </c>
      <c r="U184" t="s">
        <v>426</v>
      </c>
      <c r="V184" t="s">
        <v>62</v>
      </c>
      <c r="W184" t="s">
        <v>62</v>
      </c>
      <c r="X184" t="s">
        <v>62</v>
      </c>
      <c r="Z184">
        <v>0.5</v>
      </c>
      <c r="AA184">
        <v>0.5</v>
      </c>
      <c r="AB184" t="s">
        <v>309</v>
      </c>
      <c r="AD184">
        <v>0.5</v>
      </c>
      <c r="AE184">
        <v>0.5</v>
      </c>
      <c r="AF184" t="s">
        <v>309</v>
      </c>
      <c r="AG184" t="s">
        <v>424</v>
      </c>
      <c r="AH184">
        <v>585078.80099999998</v>
      </c>
      <c r="AI184">
        <v>6916111.6880000001</v>
      </c>
      <c r="AJ184">
        <v>1285.2249999999999</v>
      </c>
      <c r="AK184">
        <v>1286.7449999999999</v>
      </c>
      <c r="AL184">
        <v>1283.7049999999999</v>
      </c>
    </row>
    <row r="185" spans="1:38" x14ac:dyDescent="0.3">
      <c r="A185" t="str">
        <f t="shared" si="2"/>
        <v>CH15-106-MW008Fluoride</v>
      </c>
      <c r="B185">
        <v>1650156</v>
      </c>
      <c r="C185" t="s">
        <v>416</v>
      </c>
      <c r="D185" t="s">
        <v>136</v>
      </c>
      <c r="E185" t="s">
        <v>136</v>
      </c>
      <c r="F185" s="88">
        <v>42528</v>
      </c>
      <c r="G185">
        <v>7.32</v>
      </c>
      <c r="H185">
        <v>10.36</v>
      </c>
      <c r="I185" t="s">
        <v>417</v>
      </c>
      <c r="J185" t="s">
        <v>418</v>
      </c>
      <c r="K185" t="s">
        <v>419</v>
      </c>
      <c r="L185" t="s">
        <v>420</v>
      </c>
      <c r="M185" t="s">
        <v>425</v>
      </c>
      <c r="N185">
        <v>100394581</v>
      </c>
      <c r="O185" t="s">
        <v>455</v>
      </c>
      <c r="P185" t="s">
        <v>340</v>
      </c>
      <c r="Q185">
        <v>0.125</v>
      </c>
      <c r="R185" t="s">
        <v>309</v>
      </c>
      <c r="S185">
        <v>0.02</v>
      </c>
      <c r="T185" t="s">
        <v>145</v>
      </c>
      <c r="U185" t="s">
        <v>145</v>
      </c>
      <c r="X185" t="s">
        <v>237</v>
      </c>
      <c r="Z185">
        <v>0.02</v>
      </c>
      <c r="AA185">
        <v>0.02</v>
      </c>
      <c r="AB185" t="s">
        <v>309</v>
      </c>
      <c r="AD185">
        <v>0.125</v>
      </c>
      <c r="AE185">
        <v>0.125</v>
      </c>
      <c r="AF185" t="s">
        <v>309</v>
      </c>
      <c r="AG185" t="s">
        <v>424</v>
      </c>
      <c r="AH185">
        <v>585078.80099999998</v>
      </c>
      <c r="AI185">
        <v>6916111.6880000001</v>
      </c>
      <c r="AJ185">
        <v>1285.2249999999999</v>
      </c>
      <c r="AK185">
        <v>1286.7449999999999</v>
      </c>
      <c r="AL185">
        <v>1283.7049999999999</v>
      </c>
    </row>
    <row r="186" spans="1:38" x14ac:dyDescent="0.3">
      <c r="A186" t="str">
        <f t="shared" si="2"/>
        <v>CH15-106-MW008Phosphorus</v>
      </c>
      <c r="B186">
        <v>1650156</v>
      </c>
      <c r="C186" t="s">
        <v>416</v>
      </c>
      <c r="D186" t="s">
        <v>136</v>
      </c>
      <c r="E186" t="s">
        <v>136</v>
      </c>
      <c r="F186" s="88">
        <v>42528</v>
      </c>
      <c r="G186">
        <v>7.32</v>
      </c>
      <c r="H186">
        <v>10.36</v>
      </c>
      <c r="I186" t="s">
        <v>417</v>
      </c>
      <c r="J186" t="s">
        <v>418</v>
      </c>
      <c r="K186" t="s">
        <v>419</v>
      </c>
      <c r="L186" t="s">
        <v>420</v>
      </c>
      <c r="M186" t="s">
        <v>425</v>
      </c>
      <c r="N186">
        <v>100394582</v>
      </c>
      <c r="O186" t="s">
        <v>456</v>
      </c>
      <c r="P186" t="s">
        <v>13</v>
      </c>
      <c r="Q186">
        <v>0.02</v>
      </c>
      <c r="R186" t="s">
        <v>309</v>
      </c>
      <c r="S186">
        <v>0.02</v>
      </c>
      <c r="T186" t="s">
        <v>145</v>
      </c>
      <c r="U186" t="s">
        <v>426</v>
      </c>
      <c r="V186" t="s">
        <v>62</v>
      </c>
      <c r="W186" t="s">
        <v>62</v>
      </c>
      <c r="X186" t="s">
        <v>62</v>
      </c>
      <c r="Z186">
        <v>0.02</v>
      </c>
      <c r="AA186">
        <v>0.02</v>
      </c>
      <c r="AB186" t="s">
        <v>309</v>
      </c>
      <c r="AD186">
        <v>0.02</v>
      </c>
      <c r="AE186">
        <v>0.02</v>
      </c>
      <c r="AF186" t="s">
        <v>309</v>
      </c>
      <c r="AG186" t="s">
        <v>424</v>
      </c>
      <c r="AH186">
        <v>585078.80099999998</v>
      </c>
      <c r="AI186">
        <v>6916111.6880000001</v>
      </c>
      <c r="AJ186">
        <v>1285.2249999999999</v>
      </c>
      <c r="AK186">
        <v>1286.7449999999999</v>
      </c>
      <c r="AL186">
        <v>1283.7049999999999</v>
      </c>
    </row>
    <row r="187" spans="1:38" x14ac:dyDescent="0.3">
      <c r="A187" t="str">
        <f t="shared" si="2"/>
        <v>CH15-106-MW008Carbon, dissolved organic (DOC)</v>
      </c>
      <c r="B187">
        <v>1650156</v>
      </c>
      <c r="C187" t="s">
        <v>416</v>
      </c>
      <c r="D187" t="s">
        <v>136</v>
      </c>
      <c r="E187" t="s">
        <v>136</v>
      </c>
      <c r="F187" s="88">
        <v>42528</v>
      </c>
      <c r="G187">
        <v>7.32</v>
      </c>
      <c r="H187">
        <v>10.36</v>
      </c>
      <c r="I187" t="s">
        <v>417</v>
      </c>
      <c r="J187" t="s">
        <v>418</v>
      </c>
      <c r="K187" t="s">
        <v>419</v>
      </c>
      <c r="L187" t="s">
        <v>420</v>
      </c>
      <c r="M187" t="s">
        <v>425</v>
      </c>
      <c r="N187">
        <v>100394583</v>
      </c>
      <c r="O187" t="s">
        <v>457</v>
      </c>
      <c r="P187" t="s">
        <v>458</v>
      </c>
      <c r="Q187">
        <v>1.1000000000000001</v>
      </c>
      <c r="R187" t="s">
        <v>309</v>
      </c>
      <c r="S187">
        <v>0.5</v>
      </c>
      <c r="T187" t="s">
        <v>145</v>
      </c>
      <c r="U187" t="s">
        <v>145</v>
      </c>
      <c r="X187" t="s">
        <v>237</v>
      </c>
      <c r="Z187">
        <v>0.5</v>
      </c>
      <c r="AA187">
        <v>0.5</v>
      </c>
      <c r="AB187" t="s">
        <v>309</v>
      </c>
      <c r="AD187">
        <v>1.1000000000000001</v>
      </c>
      <c r="AE187">
        <v>1.1000000000000001</v>
      </c>
      <c r="AF187" t="s">
        <v>309</v>
      </c>
      <c r="AG187" t="s">
        <v>424</v>
      </c>
      <c r="AH187">
        <v>585078.80099999998</v>
      </c>
      <c r="AI187">
        <v>6916111.6880000001</v>
      </c>
      <c r="AJ187">
        <v>1285.2249999999999</v>
      </c>
      <c r="AK187">
        <v>1286.7449999999999</v>
      </c>
      <c r="AL187">
        <v>1283.7049999999999</v>
      </c>
    </row>
    <row r="188" spans="1:38" x14ac:dyDescent="0.3">
      <c r="A188" t="str">
        <f t="shared" si="2"/>
        <v>CH15-106-MW008Iron, dissolved</v>
      </c>
      <c r="B188">
        <v>1650156</v>
      </c>
      <c r="C188" t="s">
        <v>416</v>
      </c>
      <c r="D188" t="s">
        <v>136</v>
      </c>
      <c r="E188" t="s">
        <v>136</v>
      </c>
      <c r="F188" s="88">
        <v>42528</v>
      </c>
      <c r="G188">
        <v>7.32</v>
      </c>
      <c r="H188">
        <v>10.36</v>
      </c>
      <c r="I188" t="s">
        <v>417</v>
      </c>
      <c r="J188" t="s">
        <v>418</v>
      </c>
      <c r="K188" t="s">
        <v>419</v>
      </c>
      <c r="L188" t="s">
        <v>437</v>
      </c>
      <c r="M188" t="s">
        <v>425</v>
      </c>
      <c r="N188">
        <v>100394584</v>
      </c>
      <c r="O188" t="s">
        <v>459</v>
      </c>
      <c r="P188" t="s">
        <v>460</v>
      </c>
      <c r="Q188">
        <v>0.03</v>
      </c>
      <c r="R188" t="s">
        <v>309</v>
      </c>
      <c r="S188">
        <v>0.03</v>
      </c>
      <c r="T188" t="s">
        <v>145</v>
      </c>
      <c r="U188" t="s">
        <v>426</v>
      </c>
      <c r="V188" t="s">
        <v>62</v>
      </c>
      <c r="W188" t="s">
        <v>62</v>
      </c>
      <c r="X188" t="s">
        <v>62</v>
      </c>
      <c r="Z188">
        <v>0.03</v>
      </c>
      <c r="AA188">
        <v>0.03</v>
      </c>
      <c r="AB188" t="s">
        <v>309</v>
      </c>
      <c r="AD188">
        <v>0.03</v>
      </c>
      <c r="AE188">
        <v>0.03</v>
      </c>
      <c r="AF188" t="s">
        <v>309</v>
      </c>
      <c r="AG188" t="s">
        <v>424</v>
      </c>
      <c r="AH188">
        <v>585078.80099999998</v>
      </c>
      <c r="AI188">
        <v>6916111.6880000001</v>
      </c>
      <c r="AJ188">
        <v>1285.2249999999999</v>
      </c>
      <c r="AK188">
        <v>1286.7449999999999</v>
      </c>
      <c r="AL188">
        <v>1283.7049999999999</v>
      </c>
    </row>
    <row r="189" spans="1:38" x14ac:dyDescent="0.3">
      <c r="A189" t="str">
        <f t="shared" si="2"/>
        <v>CH15-106-MW008Magnesium, dissolved</v>
      </c>
      <c r="B189">
        <v>1650156</v>
      </c>
      <c r="C189" t="s">
        <v>416</v>
      </c>
      <c r="D189" t="s">
        <v>136</v>
      </c>
      <c r="E189" t="s">
        <v>136</v>
      </c>
      <c r="F189" s="88">
        <v>42528</v>
      </c>
      <c r="G189">
        <v>7.32</v>
      </c>
      <c r="H189">
        <v>10.36</v>
      </c>
      <c r="I189" t="s">
        <v>417</v>
      </c>
      <c r="J189" t="s">
        <v>418</v>
      </c>
      <c r="K189" t="s">
        <v>419</v>
      </c>
      <c r="L189" t="s">
        <v>437</v>
      </c>
      <c r="M189" t="s">
        <v>425</v>
      </c>
      <c r="N189">
        <v>100394584</v>
      </c>
      <c r="O189" t="s">
        <v>461</v>
      </c>
      <c r="P189" t="s">
        <v>462</v>
      </c>
      <c r="Q189">
        <v>4.92</v>
      </c>
      <c r="R189" t="s">
        <v>309</v>
      </c>
      <c r="S189">
        <v>0.1</v>
      </c>
      <c r="T189" t="s">
        <v>145</v>
      </c>
      <c r="U189" t="s">
        <v>145</v>
      </c>
      <c r="X189" t="s">
        <v>237</v>
      </c>
      <c r="Z189">
        <v>0.1</v>
      </c>
      <c r="AA189">
        <v>0.1</v>
      </c>
      <c r="AB189" t="s">
        <v>309</v>
      </c>
      <c r="AD189">
        <v>4.92</v>
      </c>
      <c r="AE189">
        <v>4.92</v>
      </c>
      <c r="AF189" t="s">
        <v>309</v>
      </c>
      <c r="AG189" t="s">
        <v>424</v>
      </c>
      <c r="AH189">
        <v>585078.80099999998</v>
      </c>
      <c r="AI189">
        <v>6916111.6880000001</v>
      </c>
      <c r="AJ189">
        <v>1285.2249999999999</v>
      </c>
      <c r="AK189">
        <v>1286.7449999999999</v>
      </c>
      <c r="AL189">
        <v>1283.7049999999999</v>
      </c>
    </row>
    <row r="190" spans="1:38" x14ac:dyDescent="0.3">
      <c r="A190" t="str">
        <f t="shared" si="2"/>
        <v>CH15-106-MW008Silicon, dissolved</v>
      </c>
      <c r="B190">
        <v>1650156</v>
      </c>
      <c r="C190" t="s">
        <v>416</v>
      </c>
      <c r="D190" t="s">
        <v>136</v>
      </c>
      <c r="E190" t="s">
        <v>136</v>
      </c>
      <c r="F190" s="88">
        <v>42528</v>
      </c>
      <c r="G190">
        <v>7.32</v>
      </c>
      <c r="H190">
        <v>10.36</v>
      </c>
      <c r="I190" t="s">
        <v>417</v>
      </c>
      <c r="J190" t="s">
        <v>418</v>
      </c>
      <c r="K190" t="s">
        <v>419</v>
      </c>
      <c r="L190" t="s">
        <v>437</v>
      </c>
      <c r="M190" t="s">
        <v>425</v>
      </c>
      <c r="N190">
        <v>100394584</v>
      </c>
      <c r="O190" t="s">
        <v>463</v>
      </c>
      <c r="P190" t="s">
        <v>464</v>
      </c>
      <c r="Q190">
        <v>8.2899999999999991</v>
      </c>
      <c r="R190" t="s">
        <v>309</v>
      </c>
      <c r="S190">
        <v>0.05</v>
      </c>
      <c r="T190" t="s">
        <v>145</v>
      </c>
      <c r="U190" t="s">
        <v>145</v>
      </c>
      <c r="X190" t="s">
        <v>237</v>
      </c>
      <c r="Z190">
        <v>0.05</v>
      </c>
      <c r="AA190">
        <v>0.05</v>
      </c>
      <c r="AB190" t="s">
        <v>309</v>
      </c>
      <c r="AD190">
        <v>8.2899999999999991</v>
      </c>
      <c r="AE190">
        <v>8.2899999999999991</v>
      </c>
      <c r="AF190" t="s">
        <v>309</v>
      </c>
      <c r="AG190" t="s">
        <v>424</v>
      </c>
      <c r="AH190">
        <v>585078.80099999998</v>
      </c>
      <c r="AI190">
        <v>6916111.6880000001</v>
      </c>
      <c r="AJ190">
        <v>1285.2249999999999</v>
      </c>
      <c r="AK190">
        <v>1286.7449999999999</v>
      </c>
      <c r="AL190">
        <v>1283.7049999999999</v>
      </c>
    </row>
    <row r="191" spans="1:38" x14ac:dyDescent="0.3">
      <c r="A191" t="str">
        <f t="shared" si="2"/>
        <v>CH15-106-MW008Calcium, dissolved</v>
      </c>
      <c r="B191">
        <v>1650156</v>
      </c>
      <c r="C191" t="s">
        <v>416</v>
      </c>
      <c r="D191" t="s">
        <v>136</v>
      </c>
      <c r="E191" t="s">
        <v>136</v>
      </c>
      <c r="F191" s="88">
        <v>42528</v>
      </c>
      <c r="G191">
        <v>7.32</v>
      </c>
      <c r="H191">
        <v>10.36</v>
      </c>
      <c r="I191" t="s">
        <v>417</v>
      </c>
      <c r="J191" t="s">
        <v>418</v>
      </c>
      <c r="K191" t="s">
        <v>419</v>
      </c>
      <c r="L191" t="s">
        <v>437</v>
      </c>
      <c r="M191" t="s">
        <v>425</v>
      </c>
      <c r="N191">
        <v>100394584</v>
      </c>
      <c r="O191" t="s">
        <v>465</v>
      </c>
      <c r="P191" t="s">
        <v>466</v>
      </c>
      <c r="Q191">
        <v>38.5</v>
      </c>
      <c r="R191" t="s">
        <v>309</v>
      </c>
      <c r="S191">
        <v>0.05</v>
      </c>
      <c r="T191" t="s">
        <v>145</v>
      </c>
      <c r="U191" t="s">
        <v>145</v>
      </c>
      <c r="X191" t="s">
        <v>237</v>
      </c>
      <c r="Z191">
        <v>0.05</v>
      </c>
      <c r="AA191">
        <v>0.05</v>
      </c>
      <c r="AB191" t="s">
        <v>309</v>
      </c>
      <c r="AD191">
        <v>38.5</v>
      </c>
      <c r="AE191">
        <v>38.5</v>
      </c>
      <c r="AF191" t="s">
        <v>309</v>
      </c>
      <c r="AG191" t="s">
        <v>424</v>
      </c>
      <c r="AH191">
        <v>585078.80099999998</v>
      </c>
      <c r="AI191">
        <v>6916111.6880000001</v>
      </c>
      <c r="AJ191">
        <v>1285.2249999999999</v>
      </c>
      <c r="AK191">
        <v>1286.7449999999999</v>
      </c>
      <c r="AL191">
        <v>1283.7049999999999</v>
      </c>
    </row>
    <row r="192" spans="1:38" x14ac:dyDescent="0.3">
      <c r="A192" t="str">
        <f t="shared" si="2"/>
        <v>CH15-106-MW008Sulfur, dissolved</v>
      </c>
      <c r="B192">
        <v>1650156</v>
      </c>
      <c r="C192" t="s">
        <v>416</v>
      </c>
      <c r="D192" t="s">
        <v>136</v>
      </c>
      <c r="E192" t="s">
        <v>136</v>
      </c>
      <c r="F192" s="88">
        <v>42528</v>
      </c>
      <c r="G192">
        <v>7.32</v>
      </c>
      <c r="H192">
        <v>10.36</v>
      </c>
      <c r="I192" t="s">
        <v>417</v>
      </c>
      <c r="J192" t="s">
        <v>418</v>
      </c>
      <c r="K192" t="s">
        <v>419</v>
      </c>
      <c r="L192" t="s">
        <v>437</v>
      </c>
      <c r="M192" t="s">
        <v>425</v>
      </c>
      <c r="N192">
        <v>100394584</v>
      </c>
      <c r="O192" t="s">
        <v>467</v>
      </c>
      <c r="P192" t="s">
        <v>468</v>
      </c>
      <c r="Q192">
        <v>15.2</v>
      </c>
      <c r="R192" t="s">
        <v>309</v>
      </c>
      <c r="S192">
        <v>0.5</v>
      </c>
      <c r="T192" t="s">
        <v>145</v>
      </c>
      <c r="U192" t="s">
        <v>145</v>
      </c>
      <c r="X192" t="s">
        <v>237</v>
      </c>
      <c r="Z192">
        <v>0.5</v>
      </c>
      <c r="AA192">
        <v>0.5</v>
      </c>
      <c r="AB192" t="s">
        <v>309</v>
      </c>
      <c r="AD192">
        <v>15.2</v>
      </c>
      <c r="AE192">
        <v>15.2</v>
      </c>
      <c r="AF192" t="s">
        <v>309</v>
      </c>
      <c r="AG192" t="s">
        <v>424</v>
      </c>
      <c r="AH192">
        <v>585078.80099999998</v>
      </c>
      <c r="AI192">
        <v>6916111.6880000001</v>
      </c>
      <c r="AJ192">
        <v>1285.2249999999999</v>
      </c>
      <c r="AK192">
        <v>1286.7449999999999</v>
      </c>
      <c r="AL192">
        <v>1283.7049999999999</v>
      </c>
    </row>
    <row r="193" spans="1:38" x14ac:dyDescent="0.3">
      <c r="A193" t="str">
        <f t="shared" si="2"/>
        <v>CH15-106-MW008Phosphorus, dissolved</v>
      </c>
      <c r="B193">
        <v>1650156</v>
      </c>
      <c r="C193" t="s">
        <v>416</v>
      </c>
      <c r="D193" t="s">
        <v>136</v>
      </c>
      <c r="E193" t="s">
        <v>136</v>
      </c>
      <c r="F193" s="88">
        <v>42528</v>
      </c>
      <c r="G193">
        <v>7.32</v>
      </c>
      <c r="H193">
        <v>10.36</v>
      </c>
      <c r="I193" t="s">
        <v>417</v>
      </c>
      <c r="J193" t="s">
        <v>418</v>
      </c>
      <c r="K193" t="s">
        <v>419</v>
      </c>
      <c r="L193" t="s">
        <v>437</v>
      </c>
      <c r="M193" t="s">
        <v>425</v>
      </c>
      <c r="N193">
        <v>100394584</v>
      </c>
      <c r="O193" t="s">
        <v>469</v>
      </c>
      <c r="P193" t="s">
        <v>470</v>
      </c>
      <c r="Q193">
        <v>0.3</v>
      </c>
      <c r="R193" t="s">
        <v>309</v>
      </c>
      <c r="S193">
        <v>0.3</v>
      </c>
      <c r="T193" t="s">
        <v>145</v>
      </c>
      <c r="U193" t="s">
        <v>426</v>
      </c>
      <c r="V193" t="s">
        <v>62</v>
      </c>
      <c r="W193" t="s">
        <v>62</v>
      </c>
      <c r="X193" t="s">
        <v>62</v>
      </c>
      <c r="Z193">
        <v>0.3</v>
      </c>
      <c r="AA193">
        <v>0.3</v>
      </c>
      <c r="AB193" t="s">
        <v>309</v>
      </c>
      <c r="AD193">
        <v>0.3</v>
      </c>
      <c r="AE193">
        <v>0.3</v>
      </c>
      <c r="AF193" t="s">
        <v>309</v>
      </c>
      <c r="AG193" t="s">
        <v>424</v>
      </c>
      <c r="AH193">
        <v>585078.80099999998</v>
      </c>
      <c r="AI193">
        <v>6916111.6880000001</v>
      </c>
      <c r="AJ193">
        <v>1285.2249999999999</v>
      </c>
      <c r="AK193">
        <v>1286.7449999999999</v>
      </c>
      <c r="AL193">
        <v>1283.7049999999999</v>
      </c>
    </row>
    <row r="194" spans="1:38" x14ac:dyDescent="0.3">
      <c r="A194" t="str">
        <f t="shared" si="2"/>
        <v>CH15-106-MW008Silica, Dissolved</v>
      </c>
      <c r="B194">
        <v>1650156</v>
      </c>
      <c r="C194" t="s">
        <v>416</v>
      </c>
      <c r="D194" t="s">
        <v>136</v>
      </c>
      <c r="E194" t="s">
        <v>136</v>
      </c>
      <c r="F194" s="88">
        <v>42528</v>
      </c>
      <c r="G194">
        <v>7.32</v>
      </c>
      <c r="H194">
        <v>10.36</v>
      </c>
      <c r="I194" t="s">
        <v>417</v>
      </c>
      <c r="J194" t="s">
        <v>418</v>
      </c>
      <c r="K194" t="s">
        <v>419</v>
      </c>
      <c r="L194" t="s">
        <v>420</v>
      </c>
      <c r="M194" t="s">
        <v>425</v>
      </c>
      <c r="N194">
        <v>100394585</v>
      </c>
      <c r="O194" t="s">
        <v>471</v>
      </c>
      <c r="P194" t="s">
        <v>472</v>
      </c>
      <c r="Q194">
        <v>17.7</v>
      </c>
      <c r="R194" t="s">
        <v>309</v>
      </c>
      <c r="S194">
        <v>0.2</v>
      </c>
      <c r="T194" t="s">
        <v>145</v>
      </c>
      <c r="U194" t="s">
        <v>145</v>
      </c>
      <c r="X194" t="s">
        <v>237</v>
      </c>
      <c r="Z194">
        <v>0.2</v>
      </c>
      <c r="AA194">
        <v>0.2</v>
      </c>
      <c r="AB194" t="s">
        <v>309</v>
      </c>
      <c r="AD194">
        <v>17.7</v>
      </c>
      <c r="AE194">
        <v>17.7</v>
      </c>
      <c r="AF194" t="s">
        <v>309</v>
      </c>
      <c r="AG194" t="s">
        <v>424</v>
      </c>
      <c r="AH194">
        <v>585078.80099999998</v>
      </c>
      <c r="AI194">
        <v>6916111.6880000001</v>
      </c>
      <c r="AJ194">
        <v>1285.2249999999999</v>
      </c>
      <c r="AK194">
        <v>1286.7449999999999</v>
      </c>
      <c r="AL194">
        <v>1283.7049999999999</v>
      </c>
    </row>
    <row r="195" spans="1:38" x14ac:dyDescent="0.3">
      <c r="A195" t="str">
        <f t="shared" ref="A195:A219" si="3">E195&amp;P195</f>
        <v>CH15-106-MW008Aluminum, dissolved</v>
      </c>
      <c r="B195">
        <v>1650156</v>
      </c>
      <c r="C195" t="s">
        <v>416</v>
      </c>
      <c r="D195" t="s">
        <v>136</v>
      </c>
      <c r="E195" t="s">
        <v>136</v>
      </c>
      <c r="F195" s="88">
        <v>42528</v>
      </c>
      <c r="G195">
        <v>7.32</v>
      </c>
      <c r="H195">
        <v>10.36</v>
      </c>
      <c r="I195" t="s">
        <v>417</v>
      </c>
      <c r="J195" t="s">
        <v>418</v>
      </c>
      <c r="K195" t="s">
        <v>419</v>
      </c>
      <c r="L195" t="s">
        <v>437</v>
      </c>
      <c r="M195" t="s">
        <v>425</v>
      </c>
      <c r="N195">
        <v>100394586</v>
      </c>
      <c r="O195" t="s">
        <v>473</v>
      </c>
      <c r="P195" t="s">
        <v>474</v>
      </c>
      <c r="Q195">
        <v>1E-3</v>
      </c>
      <c r="R195" t="s">
        <v>309</v>
      </c>
      <c r="S195">
        <v>1E-3</v>
      </c>
      <c r="T195" t="s">
        <v>145</v>
      </c>
      <c r="U195" t="s">
        <v>426</v>
      </c>
      <c r="V195" t="s">
        <v>62</v>
      </c>
      <c r="W195" t="s">
        <v>62</v>
      </c>
      <c r="X195" t="s">
        <v>237</v>
      </c>
      <c r="Z195">
        <v>1E-3</v>
      </c>
      <c r="AA195">
        <v>1E-3</v>
      </c>
      <c r="AB195" t="s">
        <v>309</v>
      </c>
      <c r="AD195">
        <v>3.7000000000000002E-3</v>
      </c>
      <c r="AE195">
        <v>3.7000000000000002E-3</v>
      </c>
      <c r="AF195" t="s">
        <v>309</v>
      </c>
      <c r="AG195" t="s">
        <v>424</v>
      </c>
      <c r="AH195">
        <v>585078.80099999998</v>
      </c>
      <c r="AI195">
        <v>6916111.6880000001</v>
      </c>
      <c r="AJ195">
        <v>1285.2249999999999</v>
      </c>
      <c r="AK195">
        <v>1286.7449999999999</v>
      </c>
      <c r="AL195">
        <v>1283.7049999999999</v>
      </c>
    </row>
    <row r="196" spans="1:38" x14ac:dyDescent="0.3">
      <c r="A196" t="str">
        <f t="shared" si="3"/>
        <v>CH15-106-MW008Lead (Pb)-Dissolved</v>
      </c>
      <c r="B196">
        <v>1650156</v>
      </c>
      <c r="C196" t="s">
        <v>416</v>
      </c>
      <c r="D196" t="s">
        <v>136</v>
      </c>
      <c r="E196" t="s">
        <v>136</v>
      </c>
      <c r="F196" s="88">
        <v>42528</v>
      </c>
      <c r="G196">
        <v>7.32</v>
      </c>
      <c r="H196">
        <v>10.36</v>
      </c>
      <c r="I196" t="s">
        <v>417</v>
      </c>
      <c r="J196" t="s">
        <v>418</v>
      </c>
      <c r="K196" t="s">
        <v>419</v>
      </c>
      <c r="L196" t="s">
        <v>437</v>
      </c>
      <c r="M196" t="s">
        <v>425</v>
      </c>
      <c r="N196">
        <v>100394586</v>
      </c>
      <c r="O196" t="s">
        <v>475</v>
      </c>
      <c r="P196" t="s">
        <v>476</v>
      </c>
      <c r="Q196">
        <v>2.5000000000000001E-4</v>
      </c>
      <c r="R196" t="s">
        <v>309</v>
      </c>
      <c r="S196">
        <v>5.0000000000000002E-5</v>
      </c>
      <c r="T196" t="s">
        <v>145</v>
      </c>
      <c r="U196" t="s">
        <v>145</v>
      </c>
      <c r="X196" t="s">
        <v>237</v>
      </c>
      <c r="Z196">
        <v>5.0000000000000002E-5</v>
      </c>
      <c r="AA196">
        <v>5.0000000000000002E-5</v>
      </c>
      <c r="AB196" t="s">
        <v>309</v>
      </c>
      <c r="AD196">
        <v>2.5000000000000001E-4</v>
      </c>
      <c r="AE196">
        <v>2.5000000000000001E-4</v>
      </c>
      <c r="AF196" t="s">
        <v>309</v>
      </c>
      <c r="AG196" t="s">
        <v>424</v>
      </c>
      <c r="AH196">
        <v>585078.80099999998</v>
      </c>
      <c r="AI196">
        <v>6916111.6880000001</v>
      </c>
      <c r="AJ196">
        <v>1285.2249999999999</v>
      </c>
      <c r="AK196">
        <v>1286.7449999999999</v>
      </c>
      <c r="AL196">
        <v>1283.7049999999999</v>
      </c>
    </row>
    <row r="197" spans="1:38" x14ac:dyDescent="0.3">
      <c r="A197" t="str">
        <f t="shared" si="3"/>
        <v>CH15-106-MW008Manganese, dissolved</v>
      </c>
      <c r="B197">
        <v>1650156</v>
      </c>
      <c r="C197" t="s">
        <v>416</v>
      </c>
      <c r="D197" t="s">
        <v>136</v>
      </c>
      <c r="E197" t="s">
        <v>136</v>
      </c>
      <c r="F197" s="88">
        <v>42528</v>
      </c>
      <c r="G197">
        <v>7.32</v>
      </c>
      <c r="H197">
        <v>10.36</v>
      </c>
      <c r="I197" t="s">
        <v>417</v>
      </c>
      <c r="J197" t="s">
        <v>418</v>
      </c>
      <c r="K197" t="s">
        <v>419</v>
      </c>
      <c r="L197" t="s">
        <v>437</v>
      </c>
      <c r="M197" t="s">
        <v>425</v>
      </c>
      <c r="N197">
        <v>100394586</v>
      </c>
      <c r="O197" t="s">
        <v>477</v>
      </c>
      <c r="P197" t="s">
        <v>478</v>
      </c>
      <c r="Q197">
        <v>5.67E-2</v>
      </c>
      <c r="R197" t="s">
        <v>309</v>
      </c>
      <c r="S197">
        <v>1E-4</v>
      </c>
      <c r="T197" t="s">
        <v>145</v>
      </c>
      <c r="U197" t="s">
        <v>145</v>
      </c>
      <c r="X197" t="s">
        <v>237</v>
      </c>
      <c r="Z197">
        <v>1E-4</v>
      </c>
      <c r="AA197">
        <v>1E-4</v>
      </c>
      <c r="AB197" t="s">
        <v>309</v>
      </c>
      <c r="AD197">
        <v>5.67E-2</v>
      </c>
      <c r="AE197">
        <v>5.67E-2</v>
      </c>
      <c r="AF197" t="s">
        <v>309</v>
      </c>
      <c r="AG197" t="s">
        <v>424</v>
      </c>
      <c r="AH197">
        <v>585078.80099999998</v>
      </c>
      <c r="AI197">
        <v>6916111.6880000001</v>
      </c>
      <c r="AJ197">
        <v>1285.2249999999999</v>
      </c>
      <c r="AK197">
        <v>1286.7449999999999</v>
      </c>
      <c r="AL197">
        <v>1283.7049999999999</v>
      </c>
    </row>
    <row r="198" spans="1:38" x14ac:dyDescent="0.3">
      <c r="A198" t="str">
        <f t="shared" si="3"/>
        <v>CH15-106-MW008Molybdenum (Mo)-Dissolved</v>
      </c>
      <c r="B198">
        <v>1650156</v>
      </c>
      <c r="C198" t="s">
        <v>416</v>
      </c>
      <c r="D198" t="s">
        <v>136</v>
      </c>
      <c r="E198" t="s">
        <v>136</v>
      </c>
      <c r="F198" s="88">
        <v>42528</v>
      </c>
      <c r="G198">
        <v>7.32</v>
      </c>
      <c r="H198">
        <v>10.36</v>
      </c>
      <c r="I198" t="s">
        <v>417</v>
      </c>
      <c r="J198" t="s">
        <v>418</v>
      </c>
      <c r="K198" t="s">
        <v>419</v>
      </c>
      <c r="L198" t="s">
        <v>437</v>
      </c>
      <c r="M198" t="s">
        <v>425</v>
      </c>
      <c r="N198">
        <v>100394586</v>
      </c>
      <c r="O198" t="s">
        <v>479</v>
      </c>
      <c r="P198" t="s">
        <v>480</v>
      </c>
      <c r="Q198">
        <v>1.3899999999999999E-4</v>
      </c>
      <c r="R198" t="s">
        <v>309</v>
      </c>
      <c r="S198">
        <v>5.0000000000000002E-5</v>
      </c>
      <c r="T198" t="s">
        <v>145</v>
      </c>
      <c r="U198" t="s">
        <v>145</v>
      </c>
      <c r="X198" t="s">
        <v>237</v>
      </c>
      <c r="Z198">
        <v>5.0000000000000002E-5</v>
      </c>
      <c r="AA198">
        <v>5.0000000000000002E-5</v>
      </c>
      <c r="AB198" t="s">
        <v>309</v>
      </c>
      <c r="AD198">
        <v>1.3899999999999999E-4</v>
      </c>
      <c r="AE198">
        <v>1.3899999999999999E-4</v>
      </c>
      <c r="AF198" t="s">
        <v>309</v>
      </c>
      <c r="AG198" t="s">
        <v>424</v>
      </c>
      <c r="AH198">
        <v>585078.80099999998</v>
      </c>
      <c r="AI198">
        <v>6916111.6880000001</v>
      </c>
      <c r="AJ198">
        <v>1285.2249999999999</v>
      </c>
      <c r="AK198">
        <v>1286.7449999999999</v>
      </c>
      <c r="AL198">
        <v>1283.7049999999999</v>
      </c>
    </row>
    <row r="199" spans="1:38" x14ac:dyDescent="0.3">
      <c r="A199" t="str">
        <f t="shared" si="3"/>
        <v>CH15-106-MW008Nickel (Ni)-Dissolved</v>
      </c>
      <c r="B199">
        <v>1650156</v>
      </c>
      <c r="C199" t="s">
        <v>416</v>
      </c>
      <c r="D199" t="s">
        <v>136</v>
      </c>
      <c r="E199" t="s">
        <v>136</v>
      </c>
      <c r="F199" s="88">
        <v>42528</v>
      </c>
      <c r="G199">
        <v>7.32</v>
      </c>
      <c r="H199">
        <v>10.36</v>
      </c>
      <c r="I199" t="s">
        <v>417</v>
      </c>
      <c r="J199" t="s">
        <v>418</v>
      </c>
      <c r="K199" t="s">
        <v>419</v>
      </c>
      <c r="L199" t="s">
        <v>437</v>
      </c>
      <c r="M199" t="s">
        <v>425</v>
      </c>
      <c r="N199">
        <v>100394586</v>
      </c>
      <c r="O199" t="s">
        <v>481</v>
      </c>
      <c r="P199" t="s">
        <v>482</v>
      </c>
      <c r="Q199">
        <v>6.1999999999999998E-3</v>
      </c>
      <c r="R199" t="s">
        <v>309</v>
      </c>
      <c r="S199">
        <v>5.0000000000000001E-4</v>
      </c>
      <c r="T199" t="s">
        <v>145</v>
      </c>
      <c r="U199" t="s">
        <v>145</v>
      </c>
      <c r="X199" t="s">
        <v>237</v>
      </c>
      <c r="Z199">
        <v>5.0000000000000001E-4</v>
      </c>
      <c r="AA199">
        <v>5.0000000000000001E-4</v>
      </c>
      <c r="AB199" t="s">
        <v>309</v>
      </c>
      <c r="AD199">
        <v>6.1999999999999998E-3</v>
      </c>
      <c r="AE199">
        <v>6.1999999999999998E-3</v>
      </c>
      <c r="AF199" t="s">
        <v>309</v>
      </c>
      <c r="AG199" t="s">
        <v>424</v>
      </c>
      <c r="AH199">
        <v>585078.80099999998</v>
      </c>
      <c r="AI199">
        <v>6916111.6880000001</v>
      </c>
      <c r="AJ199">
        <v>1285.2249999999999</v>
      </c>
      <c r="AK199">
        <v>1286.7449999999999</v>
      </c>
      <c r="AL199">
        <v>1283.7049999999999</v>
      </c>
    </row>
    <row r="200" spans="1:38" x14ac:dyDescent="0.3">
      <c r="A200" t="str">
        <f t="shared" si="3"/>
        <v>CH15-106-MW008Potassium, dissolved</v>
      </c>
      <c r="B200">
        <v>1650156</v>
      </c>
      <c r="C200" t="s">
        <v>416</v>
      </c>
      <c r="D200" t="s">
        <v>136</v>
      </c>
      <c r="E200" t="s">
        <v>136</v>
      </c>
      <c r="F200" s="88">
        <v>42528</v>
      </c>
      <c r="G200">
        <v>7.32</v>
      </c>
      <c r="H200">
        <v>10.36</v>
      </c>
      <c r="I200" t="s">
        <v>417</v>
      </c>
      <c r="J200" t="s">
        <v>418</v>
      </c>
      <c r="K200" t="s">
        <v>419</v>
      </c>
      <c r="L200" t="s">
        <v>437</v>
      </c>
      <c r="M200" t="s">
        <v>425</v>
      </c>
      <c r="N200">
        <v>100394586</v>
      </c>
      <c r="O200" t="s">
        <v>519</v>
      </c>
      <c r="P200" t="s">
        <v>520</v>
      </c>
      <c r="Q200">
        <v>0.86899999999999999</v>
      </c>
      <c r="R200" t="s">
        <v>309</v>
      </c>
      <c r="S200">
        <v>0.05</v>
      </c>
      <c r="T200" t="s">
        <v>145</v>
      </c>
      <c r="U200" t="s">
        <v>145</v>
      </c>
      <c r="X200" t="s">
        <v>237</v>
      </c>
      <c r="Z200">
        <v>0.05</v>
      </c>
      <c r="AA200">
        <v>0.05</v>
      </c>
      <c r="AB200" t="s">
        <v>309</v>
      </c>
      <c r="AD200">
        <v>0.86899999999999999</v>
      </c>
      <c r="AE200">
        <v>0.86899999999999999</v>
      </c>
      <c r="AF200" t="s">
        <v>309</v>
      </c>
      <c r="AG200" t="s">
        <v>424</v>
      </c>
      <c r="AH200">
        <v>585078.80099999998</v>
      </c>
      <c r="AI200">
        <v>6916111.6880000001</v>
      </c>
      <c r="AJ200">
        <v>1285.2249999999999</v>
      </c>
      <c r="AK200">
        <v>1286.7449999999999</v>
      </c>
      <c r="AL200">
        <v>1283.7049999999999</v>
      </c>
    </row>
    <row r="201" spans="1:38" x14ac:dyDescent="0.3">
      <c r="A201" t="str">
        <f t="shared" si="3"/>
        <v>CH15-106-MW008Silver (Ag)-Dissolved</v>
      </c>
      <c r="B201">
        <v>1650156</v>
      </c>
      <c r="C201" t="s">
        <v>416</v>
      </c>
      <c r="D201" t="s">
        <v>136</v>
      </c>
      <c r="E201" t="s">
        <v>136</v>
      </c>
      <c r="F201" s="88">
        <v>42528</v>
      </c>
      <c r="G201">
        <v>7.32</v>
      </c>
      <c r="H201">
        <v>10.36</v>
      </c>
      <c r="I201" t="s">
        <v>417</v>
      </c>
      <c r="J201" t="s">
        <v>418</v>
      </c>
      <c r="K201" t="s">
        <v>419</v>
      </c>
      <c r="L201" t="s">
        <v>437</v>
      </c>
      <c r="M201" t="s">
        <v>425</v>
      </c>
      <c r="N201">
        <v>100394586</v>
      </c>
      <c r="O201" t="s">
        <v>483</v>
      </c>
      <c r="P201" t="s">
        <v>484</v>
      </c>
      <c r="Q201" s="87">
        <v>1.0000000000000001E-5</v>
      </c>
      <c r="R201" t="s">
        <v>309</v>
      </c>
      <c r="S201">
        <v>1.0000000000000001E-5</v>
      </c>
      <c r="T201" t="s">
        <v>145</v>
      </c>
      <c r="U201" t="s">
        <v>426</v>
      </c>
      <c r="V201" t="s">
        <v>62</v>
      </c>
      <c r="W201" t="s">
        <v>62</v>
      </c>
      <c r="X201" t="s">
        <v>62</v>
      </c>
      <c r="Z201">
        <v>1.0000000000000001E-5</v>
      </c>
      <c r="AA201">
        <v>1.0000000000000001E-5</v>
      </c>
      <c r="AB201" t="s">
        <v>309</v>
      </c>
      <c r="AD201">
        <v>1.0000000000000001E-5</v>
      </c>
      <c r="AE201">
        <v>1.0000000000000001E-5</v>
      </c>
      <c r="AF201" t="s">
        <v>309</v>
      </c>
      <c r="AG201" t="s">
        <v>424</v>
      </c>
      <c r="AH201">
        <v>585078.80099999998</v>
      </c>
      <c r="AI201">
        <v>6916111.6880000001</v>
      </c>
      <c r="AJ201">
        <v>1285.2249999999999</v>
      </c>
      <c r="AK201">
        <v>1286.7449999999999</v>
      </c>
      <c r="AL201">
        <v>1283.7049999999999</v>
      </c>
    </row>
    <row r="202" spans="1:38" x14ac:dyDescent="0.3">
      <c r="A202" t="str">
        <f t="shared" si="3"/>
        <v>CH15-106-MW008Sodium (Na)-Dissolved</v>
      </c>
      <c r="B202">
        <v>1650156</v>
      </c>
      <c r="C202" t="s">
        <v>416</v>
      </c>
      <c r="D202" t="s">
        <v>136</v>
      </c>
      <c r="E202" t="s">
        <v>136</v>
      </c>
      <c r="F202" s="88">
        <v>42528</v>
      </c>
      <c r="G202">
        <v>7.32</v>
      </c>
      <c r="H202">
        <v>10.36</v>
      </c>
      <c r="I202" t="s">
        <v>417</v>
      </c>
      <c r="J202" t="s">
        <v>418</v>
      </c>
      <c r="K202" t="s">
        <v>419</v>
      </c>
      <c r="L202" t="s">
        <v>437</v>
      </c>
      <c r="M202" t="s">
        <v>425</v>
      </c>
      <c r="N202">
        <v>100394586</v>
      </c>
      <c r="O202" t="s">
        <v>485</v>
      </c>
      <c r="P202" t="s">
        <v>486</v>
      </c>
      <c r="Q202">
        <v>2.2999999999999998</v>
      </c>
      <c r="R202" t="s">
        <v>309</v>
      </c>
      <c r="S202">
        <v>0.05</v>
      </c>
      <c r="T202" t="s">
        <v>145</v>
      </c>
      <c r="U202" t="s">
        <v>145</v>
      </c>
      <c r="X202" t="s">
        <v>237</v>
      </c>
      <c r="Z202">
        <v>0.05</v>
      </c>
      <c r="AA202">
        <v>0.05</v>
      </c>
      <c r="AB202" t="s">
        <v>309</v>
      </c>
      <c r="AD202">
        <v>2.2999999999999998</v>
      </c>
      <c r="AE202">
        <v>2.2999999999999998</v>
      </c>
      <c r="AF202" t="s">
        <v>309</v>
      </c>
      <c r="AG202" t="s">
        <v>424</v>
      </c>
      <c r="AH202">
        <v>585078.80099999998</v>
      </c>
      <c r="AI202">
        <v>6916111.6880000001</v>
      </c>
      <c r="AJ202">
        <v>1285.2249999999999</v>
      </c>
      <c r="AK202">
        <v>1286.7449999999999</v>
      </c>
      <c r="AL202">
        <v>1283.7049999999999</v>
      </c>
    </row>
    <row r="203" spans="1:38" x14ac:dyDescent="0.3">
      <c r="A203" t="str">
        <f t="shared" si="3"/>
        <v>CH15-106-MW008Strontium, dissolved</v>
      </c>
      <c r="B203">
        <v>1650156</v>
      </c>
      <c r="C203" t="s">
        <v>416</v>
      </c>
      <c r="D203" t="s">
        <v>136</v>
      </c>
      <c r="E203" t="s">
        <v>136</v>
      </c>
      <c r="F203" s="88">
        <v>42528</v>
      </c>
      <c r="G203">
        <v>7.32</v>
      </c>
      <c r="H203">
        <v>10.36</v>
      </c>
      <c r="I203" t="s">
        <v>417</v>
      </c>
      <c r="J203" t="s">
        <v>418</v>
      </c>
      <c r="K203" t="s">
        <v>419</v>
      </c>
      <c r="L203" t="s">
        <v>437</v>
      </c>
      <c r="M203" t="s">
        <v>425</v>
      </c>
      <c r="N203">
        <v>100394586</v>
      </c>
      <c r="O203" t="s">
        <v>487</v>
      </c>
      <c r="P203" t="s">
        <v>488</v>
      </c>
      <c r="Q203">
        <v>0.114</v>
      </c>
      <c r="R203" t="s">
        <v>309</v>
      </c>
      <c r="S203">
        <v>2.0000000000000001E-4</v>
      </c>
      <c r="T203" t="s">
        <v>145</v>
      </c>
      <c r="U203" t="s">
        <v>145</v>
      </c>
      <c r="X203" t="s">
        <v>237</v>
      </c>
      <c r="Z203">
        <v>2.0000000000000001E-4</v>
      </c>
      <c r="AA203">
        <v>2.0000000000000001E-4</v>
      </c>
      <c r="AB203" t="s">
        <v>309</v>
      </c>
      <c r="AD203">
        <v>0.114</v>
      </c>
      <c r="AE203">
        <v>0.114</v>
      </c>
      <c r="AF203" t="s">
        <v>309</v>
      </c>
      <c r="AG203" t="s">
        <v>424</v>
      </c>
      <c r="AH203">
        <v>585078.80099999998</v>
      </c>
      <c r="AI203">
        <v>6916111.6880000001</v>
      </c>
      <c r="AJ203">
        <v>1285.2249999999999</v>
      </c>
      <c r="AK203">
        <v>1286.7449999999999</v>
      </c>
      <c r="AL203">
        <v>1283.7049999999999</v>
      </c>
    </row>
    <row r="204" spans="1:38" x14ac:dyDescent="0.3">
      <c r="A204" t="str">
        <f t="shared" si="3"/>
        <v>CH15-106-MW008Thallium (Tl)-Dissolved</v>
      </c>
      <c r="B204">
        <v>1650156</v>
      </c>
      <c r="C204" t="s">
        <v>416</v>
      </c>
      <c r="D204" t="s">
        <v>136</v>
      </c>
      <c r="E204" t="s">
        <v>136</v>
      </c>
      <c r="F204" s="88">
        <v>42528</v>
      </c>
      <c r="G204">
        <v>7.32</v>
      </c>
      <c r="H204">
        <v>10.36</v>
      </c>
      <c r="I204" t="s">
        <v>417</v>
      </c>
      <c r="J204" t="s">
        <v>418</v>
      </c>
      <c r="K204" t="s">
        <v>419</v>
      </c>
      <c r="L204" t="s">
        <v>437</v>
      </c>
      <c r="M204" t="s">
        <v>425</v>
      </c>
      <c r="N204">
        <v>100394586</v>
      </c>
      <c r="O204" t="s">
        <v>489</v>
      </c>
      <c r="P204" t="s">
        <v>490</v>
      </c>
      <c r="Q204" s="87">
        <v>1.0000000000000001E-5</v>
      </c>
      <c r="R204" t="s">
        <v>309</v>
      </c>
      <c r="S204">
        <v>1.0000000000000001E-5</v>
      </c>
      <c r="T204" t="s">
        <v>145</v>
      </c>
      <c r="U204" t="s">
        <v>426</v>
      </c>
      <c r="V204" t="s">
        <v>62</v>
      </c>
      <c r="W204" t="s">
        <v>62</v>
      </c>
      <c r="X204" t="s">
        <v>62</v>
      </c>
      <c r="Z204">
        <v>1.0000000000000001E-5</v>
      </c>
      <c r="AA204">
        <v>1.0000000000000001E-5</v>
      </c>
      <c r="AB204" t="s">
        <v>309</v>
      </c>
      <c r="AD204">
        <v>1.0000000000000001E-5</v>
      </c>
      <c r="AE204">
        <v>1.0000000000000001E-5</v>
      </c>
      <c r="AF204" t="s">
        <v>309</v>
      </c>
      <c r="AG204" t="s">
        <v>424</v>
      </c>
      <c r="AH204">
        <v>585078.80099999998</v>
      </c>
      <c r="AI204">
        <v>6916111.6880000001</v>
      </c>
      <c r="AJ204">
        <v>1285.2249999999999</v>
      </c>
      <c r="AK204">
        <v>1286.7449999999999</v>
      </c>
      <c r="AL204">
        <v>1283.7049999999999</v>
      </c>
    </row>
    <row r="205" spans="1:38" x14ac:dyDescent="0.3">
      <c r="A205" t="str">
        <f t="shared" si="3"/>
        <v>CH15-106-MW008Titanium, dissolved</v>
      </c>
      <c r="B205">
        <v>1650156</v>
      </c>
      <c r="C205" t="s">
        <v>416</v>
      </c>
      <c r="D205" t="s">
        <v>136</v>
      </c>
      <c r="E205" t="s">
        <v>136</v>
      </c>
      <c r="F205" s="88">
        <v>42528</v>
      </c>
      <c r="G205">
        <v>7.32</v>
      </c>
      <c r="H205">
        <v>10.36</v>
      </c>
      <c r="I205" t="s">
        <v>417</v>
      </c>
      <c r="J205" t="s">
        <v>418</v>
      </c>
      <c r="K205" t="s">
        <v>419</v>
      </c>
      <c r="L205" t="s">
        <v>437</v>
      </c>
      <c r="M205" t="s">
        <v>425</v>
      </c>
      <c r="N205">
        <v>100394586</v>
      </c>
      <c r="O205" t="s">
        <v>491</v>
      </c>
      <c r="P205" t="s">
        <v>492</v>
      </c>
      <c r="Q205">
        <v>2.9999999999999997E-4</v>
      </c>
      <c r="R205" t="s">
        <v>309</v>
      </c>
      <c r="S205">
        <v>2.9999999999999997E-4</v>
      </c>
      <c r="T205" t="s">
        <v>145</v>
      </c>
      <c r="U205" t="s">
        <v>426</v>
      </c>
      <c r="V205" t="s">
        <v>62</v>
      </c>
      <c r="W205" t="s">
        <v>62</v>
      </c>
      <c r="X205" t="s">
        <v>62</v>
      </c>
      <c r="Z205">
        <v>2.9999999999999997E-4</v>
      </c>
      <c r="AA205">
        <v>2.9999999999999997E-4</v>
      </c>
      <c r="AB205" t="s">
        <v>309</v>
      </c>
      <c r="AD205">
        <v>2.9999999999999997E-4</v>
      </c>
      <c r="AE205">
        <v>2.9999999999999997E-4</v>
      </c>
      <c r="AF205" t="s">
        <v>309</v>
      </c>
      <c r="AG205" t="s">
        <v>424</v>
      </c>
      <c r="AH205">
        <v>585078.80099999998</v>
      </c>
      <c r="AI205">
        <v>6916111.6880000001</v>
      </c>
      <c r="AJ205">
        <v>1285.2249999999999</v>
      </c>
      <c r="AK205">
        <v>1286.7449999999999</v>
      </c>
      <c r="AL205">
        <v>1283.7049999999999</v>
      </c>
    </row>
    <row r="206" spans="1:38" x14ac:dyDescent="0.3">
      <c r="A206" t="str">
        <f t="shared" si="3"/>
        <v>CH15-106-MW008Antimony (Sb)-Dissolved</v>
      </c>
      <c r="B206">
        <v>1650156</v>
      </c>
      <c r="C206" t="s">
        <v>416</v>
      </c>
      <c r="D206" t="s">
        <v>136</v>
      </c>
      <c r="E206" t="s">
        <v>136</v>
      </c>
      <c r="F206" s="88">
        <v>42528</v>
      </c>
      <c r="G206">
        <v>7.32</v>
      </c>
      <c r="H206">
        <v>10.36</v>
      </c>
      <c r="I206" t="s">
        <v>417</v>
      </c>
      <c r="J206" t="s">
        <v>418</v>
      </c>
      <c r="K206" t="s">
        <v>419</v>
      </c>
      <c r="L206" t="s">
        <v>437</v>
      </c>
      <c r="M206" t="s">
        <v>425</v>
      </c>
      <c r="N206">
        <v>100394586</v>
      </c>
      <c r="O206" t="s">
        <v>493</v>
      </c>
      <c r="P206" t="s">
        <v>494</v>
      </c>
      <c r="Q206">
        <v>1.3999999999999999E-4</v>
      </c>
      <c r="R206" t="s">
        <v>309</v>
      </c>
      <c r="S206">
        <v>1E-4</v>
      </c>
      <c r="T206" t="s">
        <v>145</v>
      </c>
      <c r="U206" t="s">
        <v>145</v>
      </c>
      <c r="X206" t="s">
        <v>237</v>
      </c>
      <c r="Z206">
        <v>1E-4</v>
      </c>
      <c r="AA206">
        <v>1E-4</v>
      </c>
      <c r="AB206" t="s">
        <v>309</v>
      </c>
      <c r="AD206">
        <v>1.3999999999999999E-4</v>
      </c>
      <c r="AE206">
        <v>1.3999999999999999E-4</v>
      </c>
      <c r="AF206" t="s">
        <v>309</v>
      </c>
      <c r="AG206" t="s">
        <v>424</v>
      </c>
      <c r="AH206">
        <v>585078.80099999998</v>
      </c>
      <c r="AI206">
        <v>6916111.6880000001</v>
      </c>
      <c r="AJ206">
        <v>1285.2249999999999</v>
      </c>
      <c r="AK206">
        <v>1286.7449999999999</v>
      </c>
      <c r="AL206">
        <v>1283.7049999999999</v>
      </c>
    </row>
    <row r="207" spans="1:38" x14ac:dyDescent="0.3">
      <c r="A207" t="str">
        <f t="shared" si="3"/>
        <v>CH15-106-MW008Arsenic (As)-Dissolved</v>
      </c>
      <c r="B207">
        <v>1650156</v>
      </c>
      <c r="C207" t="s">
        <v>416</v>
      </c>
      <c r="D207" t="s">
        <v>136</v>
      </c>
      <c r="E207" t="s">
        <v>136</v>
      </c>
      <c r="F207" s="88">
        <v>42528</v>
      </c>
      <c r="G207">
        <v>7.32</v>
      </c>
      <c r="H207">
        <v>10.36</v>
      </c>
      <c r="I207" t="s">
        <v>417</v>
      </c>
      <c r="J207" t="s">
        <v>418</v>
      </c>
      <c r="K207" t="s">
        <v>419</v>
      </c>
      <c r="L207" t="s">
        <v>437</v>
      </c>
      <c r="M207" t="s">
        <v>425</v>
      </c>
      <c r="N207">
        <v>100394586</v>
      </c>
      <c r="O207" t="s">
        <v>521</v>
      </c>
      <c r="P207" t="s">
        <v>522</v>
      </c>
      <c r="Q207">
        <v>1.6000000000000001E-4</v>
      </c>
      <c r="R207" t="s">
        <v>309</v>
      </c>
      <c r="S207">
        <v>1E-4</v>
      </c>
      <c r="T207" t="s">
        <v>145</v>
      </c>
      <c r="U207" t="s">
        <v>145</v>
      </c>
      <c r="X207" t="s">
        <v>237</v>
      </c>
      <c r="Z207">
        <v>1E-4</v>
      </c>
      <c r="AA207">
        <v>1E-4</v>
      </c>
      <c r="AB207" t="s">
        <v>309</v>
      </c>
      <c r="AD207">
        <v>1.6000000000000001E-4</v>
      </c>
      <c r="AE207">
        <v>1.6000000000000001E-4</v>
      </c>
      <c r="AF207" t="s">
        <v>309</v>
      </c>
      <c r="AG207" t="s">
        <v>424</v>
      </c>
      <c r="AH207">
        <v>585078.80099999998</v>
      </c>
      <c r="AI207">
        <v>6916111.6880000001</v>
      </c>
      <c r="AJ207">
        <v>1285.2249999999999</v>
      </c>
      <c r="AK207">
        <v>1286.7449999999999</v>
      </c>
      <c r="AL207">
        <v>1283.7049999999999</v>
      </c>
    </row>
    <row r="208" spans="1:38" x14ac:dyDescent="0.3">
      <c r="A208" t="str">
        <f t="shared" si="3"/>
        <v>CH15-106-MW008Barium (Ba)-Dissolved</v>
      </c>
      <c r="B208">
        <v>1650156</v>
      </c>
      <c r="C208" t="s">
        <v>416</v>
      </c>
      <c r="D208" t="s">
        <v>136</v>
      </c>
      <c r="E208" t="s">
        <v>136</v>
      </c>
      <c r="F208" s="88">
        <v>42528</v>
      </c>
      <c r="G208">
        <v>7.32</v>
      </c>
      <c r="H208">
        <v>10.36</v>
      </c>
      <c r="I208" t="s">
        <v>417</v>
      </c>
      <c r="J208" t="s">
        <v>418</v>
      </c>
      <c r="K208" t="s">
        <v>419</v>
      </c>
      <c r="L208" t="s">
        <v>437</v>
      </c>
      <c r="M208" t="s">
        <v>425</v>
      </c>
      <c r="N208">
        <v>100394586</v>
      </c>
      <c r="O208" t="s">
        <v>495</v>
      </c>
      <c r="P208" t="s">
        <v>496</v>
      </c>
      <c r="Q208">
        <v>4.8800000000000003E-2</v>
      </c>
      <c r="R208" t="s">
        <v>309</v>
      </c>
      <c r="S208">
        <v>5.0000000000000002E-5</v>
      </c>
      <c r="T208" t="s">
        <v>145</v>
      </c>
      <c r="U208" t="s">
        <v>145</v>
      </c>
      <c r="X208" t="s">
        <v>237</v>
      </c>
      <c r="Z208">
        <v>5.0000000000000002E-5</v>
      </c>
      <c r="AA208">
        <v>5.0000000000000002E-5</v>
      </c>
      <c r="AB208" t="s">
        <v>309</v>
      </c>
      <c r="AD208">
        <v>4.8800000000000003E-2</v>
      </c>
      <c r="AE208">
        <v>4.8800000000000003E-2</v>
      </c>
      <c r="AF208" t="s">
        <v>309</v>
      </c>
      <c r="AG208" t="s">
        <v>424</v>
      </c>
      <c r="AH208">
        <v>585078.80099999998</v>
      </c>
      <c r="AI208">
        <v>6916111.6880000001</v>
      </c>
      <c r="AJ208">
        <v>1285.2249999999999</v>
      </c>
      <c r="AK208">
        <v>1286.7449999999999</v>
      </c>
      <c r="AL208">
        <v>1283.7049999999999</v>
      </c>
    </row>
    <row r="209" spans="1:38" x14ac:dyDescent="0.3">
      <c r="A209" t="str">
        <f t="shared" si="3"/>
        <v>CH15-106-MW008Beryllium (Be)-Dissolved</v>
      </c>
      <c r="B209">
        <v>1650156</v>
      </c>
      <c r="C209" t="s">
        <v>416</v>
      </c>
      <c r="D209" t="s">
        <v>136</v>
      </c>
      <c r="E209" t="s">
        <v>136</v>
      </c>
      <c r="F209" s="88">
        <v>42528</v>
      </c>
      <c r="G209">
        <v>7.32</v>
      </c>
      <c r="H209">
        <v>10.36</v>
      </c>
      <c r="I209" t="s">
        <v>417</v>
      </c>
      <c r="J209" t="s">
        <v>418</v>
      </c>
      <c r="K209" t="s">
        <v>419</v>
      </c>
      <c r="L209" t="s">
        <v>437</v>
      </c>
      <c r="M209" t="s">
        <v>425</v>
      </c>
      <c r="N209">
        <v>100394586</v>
      </c>
      <c r="O209" t="s">
        <v>497</v>
      </c>
      <c r="P209" t="s">
        <v>498</v>
      </c>
      <c r="Q209">
        <v>1E-4</v>
      </c>
      <c r="R209" t="s">
        <v>309</v>
      </c>
      <c r="S209">
        <v>1E-4</v>
      </c>
      <c r="T209" t="s">
        <v>145</v>
      </c>
      <c r="U209" t="s">
        <v>426</v>
      </c>
      <c r="V209" t="s">
        <v>62</v>
      </c>
      <c r="W209" t="s">
        <v>62</v>
      </c>
      <c r="X209" t="s">
        <v>62</v>
      </c>
      <c r="Z209">
        <v>1E-4</v>
      </c>
      <c r="AA209">
        <v>1E-4</v>
      </c>
      <c r="AB209" t="s">
        <v>309</v>
      </c>
      <c r="AD209">
        <v>1E-4</v>
      </c>
      <c r="AE209">
        <v>1E-4</v>
      </c>
      <c r="AF209" t="s">
        <v>309</v>
      </c>
      <c r="AG209" t="s">
        <v>424</v>
      </c>
      <c r="AH209">
        <v>585078.80099999998</v>
      </c>
      <c r="AI209">
        <v>6916111.6880000001</v>
      </c>
      <c r="AJ209">
        <v>1285.2249999999999</v>
      </c>
      <c r="AK209">
        <v>1286.7449999999999</v>
      </c>
      <c r="AL209">
        <v>1283.7049999999999</v>
      </c>
    </row>
    <row r="210" spans="1:38" x14ac:dyDescent="0.3">
      <c r="A210" t="str">
        <f t="shared" si="3"/>
        <v>CH15-106-MW008Boron (B)-Dissolved</v>
      </c>
      <c r="B210">
        <v>1650156</v>
      </c>
      <c r="C210" t="s">
        <v>416</v>
      </c>
      <c r="D210" t="s">
        <v>136</v>
      </c>
      <c r="E210" t="s">
        <v>136</v>
      </c>
      <c r="F210" s="88">
        <v>42528</v>
      </c>
      <c r="G210">
        <v>7.32</v>
      </c>
      <c r="H210">
        <v>10.36</v>
      </c>
      <c r="I210" t="s">
        <v>417</v>
      </c>
      <c r="J210" t="s">
        <v>418</v>
      </c>
      <c r="K210" t="s">
        <v>419</v>
      </c>
      <c r="L210" t="s">
        <v>437</v>
      </c>
      <c r="M210" t="s">
        <v>425</v>
      </c>
      <c r="N210">
        <v>100394586</v>
      </c>
      <c r="O210" t="s">
        <v>499</v>
      </c>
      <c r="P210" t="s">
        <v>500</v>
      </c>
      <c r="Q210">
        <v>0.01</v>
      </c>
      <c r="R210" t="s">
        <v>309</v>
      </c>
      <c r="S210">
        <v>0.01</v>
      </c>
      <c r="T210" t="s">
        <v>145</v>
      </c>
      <c r="U210" t="s">
        <v>426</v>
      </c>
      <c r="V210" t="s">
        <v>62</v>
      </c>
      <c r="W210" t="s">
        <v>62</v>
      </c>
      <c r="X210" t="s">
        <v>62</v>
      </c>
      <c r="Z210">
        <v>0.01</v>
      </c>
      <c r="AA210">
        <v>0.01</v>
      </c>
      <c r="AB210" t="s">
        <v>309</v>
      </c>
      <c r="AD210">
        <v>0.01</v>
      </c>
      <c r="AE210">
        <v>0.01</v>
      </c>
      <c r="AF210" t="s">
        <v>309</v>
      </c>
      <c r="AG210" t="s">
        <v>424</v>
      </c>
      <c r="AH210">
        <v>585078.80099999998</v>
      </c>
      <c r="AI210">
        <v>6916111.6880000001</v>
      </c>
      <c r="AJ210">
        <v>1285.2249999999999</v>
      </c>
      <c r="AK210">
        <v>1286.7449999999999</v>
      </c>
      <c r="AL210">
        <v>1283.7049999999999</v>
      </c>
    </row>
    <row r="211" spans="1:38" x14ac:dyDescent="0.3">
      <c r="A211" t="str">
        <f t="shared" si="3"/>
        <v>CH15-106-MW008Cadmium (Cd)-Dissolved</v>
      </c>
      <c r="B211">
        <v>1650156</v>
      </c>
      <c r="C211" t="s">
        <v>416</v>
      </c>
      <c r="D211" t="s">
        <v>136</v>
      </c>
      <c r="E211" t="s">
        <v>136</v>
      </c>
      <c r="F211" s="88">
        <v>42528</v>
      </c>
      <c r="G211">
        <v>7.32</v>
      </c>
      <c r="H211">
        <v>10.36</v>
      </c>
      <c r="I211" t="s">
        <v>417</v>
      </c>
      <c r="J211" t="s">
        <v>418</v>
      </c>
      <c r="K211" t="s">
        <v>419</v>
      </c>
      <c r="L211" t="s">
        <v>437</v>
      </c>
      <c r="M211" t="s">
        <v>425</v>
      </c>
      <c r="N211">
        <v>100394586</v>
      </c>
      <c r="O211" t="s">
        <v>501</v>
      </c>
      <c r="P211" t="s">
        <v>502</v>
      </c>
      <c r="Q211">
        <v>2.1599999999999999E-4</v>
      </c>
      <c r="R211" t="s">
        <v>309</v>
      </c>
      <c r="S211">
        <v>5.0000000000000004E-6</v>
      </c>
      <c r="T211" t="s">
        <v>145</v>
      </c>
      <c r="U211" t="s">
        <v>145</v>
      </c>
      <c r="X211" t="s">
        <v>237</v>
      </c>
      <c r="Z211">
        <v>5.0000000000000004E-6</v>
      </c>
      <c r="AA211">
        <v>5.0000000000000004E-6</v>
      </c>
      <c r="AB211" t="s">
        <v>309</v>
      </c>
      <c r="AD211">
        <v>2.1599999999999999E-4</v>
      </c>
      <c r="AE211">
        <v>2.1599999999999999E-4</v>
      </c>
      <c r="AF211" t="s">
        <v>309</v>
      </c>
      <c r="AG211" t="s">
        <v>424</v>
      </c>
      <c r="AH211">
        <v>585078.80099999998</v>
      </c>
      <c r="AI211">
        <v>6916111.6880000001</v>
      </c>
      <c r="AJ211">
        <v>1285.2249999999999</v>
      </c>
      <c r="AK211">
        <v>1286.7449999999999</v>
      </c>
      <c r="AL211">
        <v>1283.7049999999999</v>
      </c>
    </row>
    <row r="212" spans="1:38" x14ac:dyDescent="0.3">
      <c r="A212" t="str">
        <f t="shared" si="3"/>
        <v>CH15-106-MW008Chromium (Cr)-Dissolved</v>
      </c>
      <c r="B212">
        <v>1650156</v>
      </c>
      <c r="C212" t="s">
        <v>416</v>
      </c>
      <c r="D212" t="s">
        <v>136</v>
      </c>
      <c r="E212" t="s">
        <v>136</v>
      </c>
      <c r="F212" s="88">
        <v>42528</v>
      </c>
      <c r="G212">
        <v>7.32</v>
      </c>
      <c r="H212">
        <v>10.36</v>
      </c>
      <c r="I212" t="s">
        <v>417</v>
      </c>
      <c r="J212" t="s">
        <v>418</v>
      </c>
      <c r="K212" t="s">
        <v>419</v>
      </c>
      <c r="L212" t="s">
        <v>437</v>
      </c>
      <c r="M212" t="s">
        <v>425</v>
      </c>
      <c r="N212">
        <v>100394586</v>
      </c>
      <c r="O212" t="s">
        <v>503</v>
      </c>
      <c r="P212" t="s">
        <v>504</v>
      </c>
      <c r="Q212">
        <v>3.6000000000000002E-4</v>
      </c>
      <c r="R212" t="s">
        <v>309</v>
      </c>
      <c r="S212">
        <v>1E-4</v>
      </c>
      <c r="T212" t="s">
        <v>145</v>
      </c>
      <c r="U212" t="s">
        <v>145</v>
      </c>
      <c r="X212" t="s">
        <v>237</v>
      </c>
      <c r="Z212">
        <v>1E-4</v>
      </c>
      <c r="AA212">
        <v>1E-4</v>
      </c>
      <c r="AB212" t="s">
        <v>309</v>
      </c>
      <c r="AD212">
        <v>3.6000000000000002E-4</v>
      </c>
      <c r="AE212">
        <v>3.6000000000000002E-4</v>
      </c>
      <c r="AF212" t="s">
        <v>309</v>
      </c>
      <c r="AG212" t="s">
        <v>424</v>
      </c>
      <c r="AH212">
        <v>585078.80099999998</v>
      </c>
      <c r="AI212">
        <v>6916111.6880000001</v>
      </c>
      <c r="AJ212">
        <v>1285.2249999999999</v>
      </c>
      <c r="AK212">
        <v>1286.7449999999999</v>
      </c>
      <c r="AL212">
        <v>1283.7049999999999</v>
      </c>
    </row>
    <row r="213" spans="1:38" x14ac:dyDescent="0.3">
      <c r="A213" t="str">
        <f t="shared" si="3"/>
        <v>CH15-106-MW008Cobalt (Co)-Dissolved</v>
      </c>
      <c r="B213">
        <v>1650156</v>
      </c>
      <c r="C213" t="s">
        <v>416</v>
      </c>
      <c r="D213" t="s">
        <v>136</v>
      </c>
      <c r="E213" t="s">
        <v>136</v>
      </c>
      <c r="F213" s="88">
        <v>42528</v>
      </c>
      <c r="G213">
        <v>7.32</v>
      </c>
      <c r="H213">
        <v>10.36</v>
      </c>
      <c r="I213" t="s">
        <v>417</v>
      </c>
      <c r="J213" t="s">
        <v>418</v>
      </c>
      <c r="K213" t="s">
        <v>419</v>
      </c>
      <c r="L213" t="s">
        <v>437</v>
      </c>
      <c r="M213" t="s">
        <v>425</v>
      </c>
      <c r="N213">
        <v>100394586</v>
      </c>
      <c r="O213" t="s">
        <v>505</v>
      </c>
      <c r="P213" t="s">
        <v>506</v>
      </c>
      <c r="Q213">
        <v>1.6000000000000001E-4</v>
      </c>
      <c r="R213" t="s">
        <v>309</v>
      </c>
      <c r="S213">
        <v>1E-4</v>
      </c>
      <c r="T213" t="s">
        <v>145</v>
      </c>
      <c r="U213" t="s">
        <v>145</v>
      </c>
      <c r="X213" t="s">
        <v>237</v>
      </c>
      <c r="Z213">
        <v>1E-4</v>
      </c>
      <c r="AA213">
        <v>1E-4</v>
      </c>
      <c r="AB213" t="s">
        <v>309</v>
      </c>
      <c r="AD213">
        <v>1.6000000000000001E-4</v>
      </c>
      <c r="AE213">
        <v>1.6000000000000001E-4</v>
      </c>
      <c r="AF213" t="s">
        <v>309</v>
      </c>
      <c r="AG213" t="s">
        <v>424</v>
      </c>
      <c r="AH213">
        <v>585078.80099999998</v>
      </c>
      <c r="AI213">
        <v>6916111.6880000001</v>
      </c>
      <c r="AJ213">
        <v>1285.2249999999999</v>
      </c>
      <c r="AK213">
        <v>1286.7449999999999</v>
      </c>
      <c r="AL213">
        <v>1283.7049999999999</v>
      </c>
    </row>
    <row r="214" spans="1:38" x14ac:dyDescent="0.3">
      <c r="A214" t="str">
        <f t="shared" si="3"/>
        <v>CH15-106-MW008Copper (Cu)-Dissolved</v>
      </c>
      <c r="B214">
        <v>1650156</v>
      </c>
      <c r="C214" t="s">
        <v>416</v>
      </c>
      <c r="D214" t="s">
        <v>136</v>
      </c>
      <c r="E214" t="s">
        <v>136</v>
      </c>
      <c r="F214" s="88">
        <v>42528</v>
      </c>
      <c r="G214">
        <v>7.32</v>
      </c>
      <c r="H214">
        <v>10.36</v>
      </c>
      <c r="I214" t="s">
        <v>417</v>
      </c>
      <c r="J214" t="s">
        <v>418</v>
      </c>
      <c r="K214" t="s">
        <v>419</v>
      </c>
      <c r="L214" t="s">
        <v>437</v>
      </c>
      <c r="M214" t="s">
        <v>425</v>
      </c>
      <c r="N214">
        <v>100394586</v>
      </c>
      <c r="O214" t="s">
        <v>507</v>
      </c>
      <c r="P214" t="s">
        <v>508</v>
      </c>
      <c r="Q214">
        <v>7.3999999999999999E-4</v>
      </c>
      <c r="R214" t="s">
        <v>309</v>
      </c>
      <c r="S214">
        <v>2.0000000000000001E-4</v>
      </c>
      <c r="T214" t="s">
        <v>145</v>
      </c>
      <c r="U214" t="s">
        <v>145</v>
      </c>
      <c r="X214" t="s">
        <v>237</v>
      </c>
      <c r="Z214">
        <v>2.0000000000000001E-4</v>
      </c>
      <c r="AA214">
        <v>2.0000000000000001E-4</v>
      </c>
      <c r="AB214" t="s">
        <v>309</v>
      </c>
      <c r="AD214">
        <v>7.3999999999999999E-4</v>
      </c>
      <c r="AE214">
        <v>7.3999999999999999E-4</v>
      </c>
      <c r="AF214" t="s">
        <v>309</v>
      </c>
      <c r="AG214" t="s">
        <v>424</v>
      </c>
      <c r="AH214">
        <v>585078.80099999998</v>
      </c>
      <c r="AI214">
        <v>6916111.6880000001</v>
      </c>
      <c r="AJ214">
        <v>1285.2249999999999</v>
      </c>
      <c r="AK214">
        <v>1286.7449999999999</v>
      </c>
      <c r="AL214">
        <v>1283.7049999999999</v>
      </c>
    </row>
    <row r="215" spans="1:38" x14ac:dyDescent="0.3">
      <c r="A215" t="str">
        <f t="shared" si="3"/>
        <v>CH15-106-MW008Uranium (U)-Dissolved</v>
      </c>
      <c r="B215">
        <v>1650156</v>
      </c>
      <c r="C215" t="s">
        <v>416</v>
      </c>
      <c r="D215" t="s">
        <v>136</v>
      </c>
      <c r="E215" t="s">
        <v>136</v>
      </c>
      <c r="F215" s="88">
        <v>42528</v>
      </c>
      <c r="G215">
        <v>7.32</v>
      </c>
      <c r="H215">
        <v>10.36</v>
      </c>
      <c r="I215" t="s">
        <v>417</v>
      </c>
      <c r="J215" t="s">
        <v>418</v>
      </c>
      <c r="K215" t="s">
        <v>419</v>
      </c>
      <c r="L215" t="s">
        <v>437</v>
      </c>
      <c r="M215" t="s">
        <v>425</v>
      </c>
      <c r="N215">
        <v>100394586</v>
      </c>
      <c r="O215" t="s">
        <v>509</v>
      </c>
      <c r="P215" t="s">
        <v>510</v>
      </c>
      <c r="Q215" s="87">
        <v>5.0000000000000002E-5</v>
      </c>
      <c r="R215" t="s">
        <v>309</v>
      </c>
      <c r="S215">
        <v>1.0000000000000001E-5</v>
      </c>
      <c r="T215" t="s">
        <v>145</v>
      </c>
      <c r="U215" t="s">
        <v>145</v>
      </c>
      <c r="X215" t="s">
        <v>237</v>
      </c>
      <c r="Z215">
        <v>1.0000000000000001E-5</v>
      </c>
      <c r="AA215">
        <v>1.0000000000000001E-5</v>
      </c>
      <c r="AB215" t="s">
        <v>309</v>
      </c>
      <c r="AD215">
        <v>5.0000000000000002E-5</v>
      </c>
      <c r="AE215">
        <v>5.0000000000000002E-5</v>
      </c>
      <c r="AF215" t="s">
        <v>309</v>
      </c>
      <c r="AG215" t="s">
        <v>424</v>
      </c>
      <c r="AH215">
        <v>585078.80099999998</v>
      </c>
      <c r="AI215">
        <v>6916111.6880000001</v>
      </c>
      <c r="AJ215">
        <v>1285.2249999999999</v>
      </c>
      <c r="AK215">
        <v>1286.7449999999999</v>
      </c>
      <c r="AL215">
        <v>1283.7049999999999</v>
      </c>
    </row>
    <row r="216" spans="1:38" x14ac:dyDescent="0.3">
      <c r="A216" t="str">
        <f t="shared" si="3"/>
        <v>CH15-106-MW008Vanadium (V)-Dissolved</v>
      </c>
      <c r="B216">
        <v>1650156</v>
      </c>
      <c r="C216" t="s">
        <v>416</v>
      </c>
      <c r="D216" t="s">
        <v>136</v>
      </c>
      <c r="E216" t="s">
        <v>136</v>
      </c>
      <c r="F216" s="88">
        <v>42528</v>
      </c>
      <c r="G216">
        <v>7.32</v>
      </c>
      <c r="H216">
        <v>10.36</v>
      </c>
      <c r="I216" t="s">
        <v>417</v>
      </c>
      <c r="J216" t="s">
        <v>418</v>
      </c>
      <c r="K216" t="s">
        <v>419</v>
      </c>
      <c r="L216" t="s">
        <v>437</v>
      </c>
      <c r="M216" t="s">
        <v>425</v>
      </c>
      <c r="N216">
        <v>100394586</v>
      </c>
      <c r="O216" t="s">
        <v>511</v>
      </c>
      <c r="P216" t="s">
        <v>512</v>
      </c>
      <c r="Q216">
        <v>5.0000000000000001E-4</v>
      </c>
      <c r="R216" t="s">
        <v>309</v>
      </c>
      <c r="S216">
        <v>5.0000000000000001E-4</v>
      </c>
      <c r="T216" t="s">
        <v>145</v>
      </c>
      <c r="U216" t="s">
        <v>426</v>
      </c>
      <c r="V216" t="s">
        <v>62</v>
      </c>
      <c r="W216" t="s">
        <v>62</v>
      </c>
      <c r="X216" t="s">
        <v>62</v>
      </c>
      <c r="Z216">
        <v>5.0000000000000001E-4</v>
      </c>
      <c r="AA216">
        <v>5.0000000000000001E-4</v>
      </c>
      <c r="AB216" t="s">
        <v>309</v>
      </c>
      <c r="AD216">
        <v>5.0000000000000001E-4</v>
      </c>
      <c r="AE216">
        <v>5.0000000000000001E-4</v>
      </c>
      <c r="AF216" t="s">
        <v>309</v>
      </c>
      <c r="AG216" t="s">
        <v>424</v>
      </c>
      <c r="AH216">
        <v>585078.80099999998</v>
      </c>
      <c r="AI216">
        <v>6916111.6880000001</v>
      </c>
      <c r="AJ216">
        <v>1285.2249999999999</v>
      </c>
      <c r="AK216">
        <v>1286.7449999999999</v>
      </c>
      <c r="AL216">
        <v>1283.7049999999999</v>
      </c>
    </row>
    <row r="217" spans="1:38" x14ac:dyDescent="0.3">
      <c r="A217" t="str">
        <f t="shared" si="3"/>
        <v>CH15-106-MW008Zinc (Zn)-Dissolved</v>
      </c>
      <c r="B217">
        <v>1650156</v>
      </c>
      <c r="C217" t="s">
        <v>416</v>
      </c>
      <c r="D217" t="s">
        <v>136</v>
      </c>
      <c r="E217" t="s">
        <v>136</v>
      </c>
      <c r="F217" s="88">
        <v>42528</v>
      </c>
      <c r="G217">
        <v>7.32</v>
      </c>
      <c r="H217">
        <v>10.36</v>
      </c>
      <c r="I217" t="s">
        <v>417</v>
      </c>
      <c r="J217" t="s">
        <v>418</v>
      </c>
      <c r="K217" t="s">
        <v>419</v>
      </c>
      <c r="L217" t="s">
        <v>437</v>
      </c>
      <c r="M217" t="s">
        <v>425</v>
      </c>
      <c r="N217">
        <v>100394586</v>
      </c>
      <c r="O217" t="s">
        <v>513</v>
      </c>
      <c r="P217" t="s">
        <v>514</v>
      </c>
      <c r="Q217">
        <v>8.5000000000000006E-2</v>
      </c>
      <c r="R217" t="s">
        <v>309</v>
      </c>
      <c r="S217">
        <v>1E-3</v>
      </c>
      <c r="T217" t="s">
        <v>145</v>
      </c>
      <c r="U217" t="s">
        <v>145</v>
      </c>
      <c r="X217" t="s">
        <v>237</v>
      </c>
      <c r="Z217">
        <v>1E-3</v>
      </c>
      <c r="AA217">
        <v>1E-3</v>
      </c>
      <c r="AB217" t="s">
        <v>309</v>
      </c>
      <c r="AD217">
        <v>8.5000000000000006E-2</v>
      </c>
      <c r="AE217">
        <v>8.5000000000000006E-2</v>
      </c>
      <c r="AF217" t="s">
        <v>309</v>
      </c>
      <c r="AG217" t="s">
        <v>424</v>
      </c>
      <c r="AH217">
        <v>585078.80099999998</v>
      </c>
      <c r="AI217">
        <v>6916111.6880000001</v>
      </c>
      <c r="AJ217">
        <v>1285.2249999999999</v>
      </c>
      <c r="AK217">
        <v>1286.7449999999999</v>
      </c>
      <c r="AL217">
        <v>1283.7049999999999</v>
      </c>
    </row>
    <row r="218" spans="1:38" x14ac:dyDescent="0.3">
      <c r="A218" t="str">
        <f t="shared" si="3"/>
        <v>CH15-106-MW008Selenium (Se)-Dissolved</v>
      </c>
      <c r="B218">
        <v>1650156</v>
      </c>
      <c r="C218" t="s">
        <v>416</v>
      </c>
      <c r="D218" t="s">
        <v>136</v>
      </c>
      <c r="E218" t="s">
        <v>136</v>
      </c>
      <c r="F218" s="88">
        <v>42528</v>
      </c>
      <c r="G218">
        <v>7.32</v>
      </c>
      <c r="H218">
        <v>10.36</v>
      </c>
      <c r="I218" t="s">
        <v>417</v>
      </c>
      <c r="J218" t="s">
        <v>418</v>
      </c>
      <c r="K218" t="s">
        <v>419</v>
      </c>
      <c r="L218" t="s">
        <v>437</v>
      </c>
      <c r="M218" t="s">
        <v>425</v>
      </c>
      <c r="N218">
        <v>100394586</v>
      </c>
      <c r="O218" t="s">
        <v>515</v>
      </c>
      <c r="P218" t="s">
        <v>516</v>
      </c>
      <c r="Q218" s="87">
        <v>5.1E-5</v>
      </c>
      <c r="R218" t="s">
        <v>309</v>
      </c>
      <c r="S218">
        <v>5.0000000000000002E-5</v>
      </c>
      <c r="T218" t="s">
        <v>145</v>
      </c>
      <c r="U218" t="s">
        <v>145</v>
      </c>
      <c r="X218" t="s">
        <v>237</v>
      </c>
      <c r="Z218">
        <v>5.0000000000000002E-5</v>
      </c>
      <c r="AA218">
        <v>5.0000000000000002E-5</v>
      </c>
      <c r="AB218" t="s">
        <v>309</v>
      </c>
      <c r="AD218">
        <v>5.1E-5</v>
      </c>
      <c r="AE218">
        <v>5.1E-5</v>
      </c>
      <c r="AF218" t="s">
        <v>309</v>
      </c>
      <c r="AG218" t="s">
        <v>424</v>
      </c>
      <c r="AH218">
        <v>585078.80099999998</v>
      </c>
      <c r="AI218">
        <v>6916111.6880000001</v>
      </c>
      <c r="AJ218">
        <v>1285.2249999999999</v>
      </c>
      <c r="AK218">
        <v>1286.7449999999999</v>
      </c>
      <c r="AL218">
        <v>1283.7049999999999</v>
      </c>
    </row>
    <row r="219" spans="1:38" x14ac:dyDescent="0.3">
      <c r="A219" t="str">
        <f t="shared" si="3"/>
        <v>CH15-106-MW008Lithium, dissolved</v>
      </c>
      <c r="B219">
        <v>1650156</v>
      </c>
      <c r="C219" t="s">
        <v>416</v>
      </c>
      <c r="D219" t="s">
        <v>136</v>
      </c>
      <c r="E219" t="s">
        <v>136</v>
      </c>
      <c r="F219" s="88">
        <v>42528</v>
      </c>
      <c r="G219">
        <v>7.32</v>
      </c>
      <c r="H219">
        <v>10.36</v>
      </c>
      <c r="I219" t="s">
        <v>417</v>
      </c>
      <c r="J219" t="s">
        <v>418</v>
      </c>
      <c r="K219" t="s">
        <v>419</v>
      </c>
      <c r="L219" t="s">
        <v>437</v>
      </c>
      <c r="M219" t="s">
        <v>425</v>
      </c>
      <c r="N219">
        <v>100394587</v>
      </c>
      <c r="O219" t="s">
        <v>517</v>
      </c>
      <c r="P219" t="s">
        <v>518</v>
      </c>
      <c r="Q219">
        <v>3.7000000000000002E-3</v>
      </c>
      <c r="R219" t="s">
        <v>309</v>
      </c>
      <c r="S219">
        <v>1E-3</v>
      </c>
      <c r="T219" t="s">
        <v>145</v>
      </c>
      <c r="U219" t="s">
        <v>145</v>
      </c>
      <c r="X219" t="s">
        <v>237</v>
      </c>
      <c r="Z219">
        <v>1E-3</v>
      </c>
      <c r="AA219">
        <v>1E-3</v>
      </c>
      <c r="AB219" t="s">
        <v>309</v>
      </c>
      <c r="AD219">
        <v>3.7000000000000002E-3</v>
      </c>
      <c r="AE219">
        <v>3.7000000000000002E-3</v>
      </c>
      <c r="AF219" t="s">
        <v>309</v>
      </c>
      <c r="AG219" t="s">
        <v>424</v>
      </c>
      <c r="AH219">
        <v>585078.80099999998</v>
      </c>
      <c r="AI219">
        <v>6916111.6880000001</v>
      </c>
      <c r="AJ219">
        <v>1285.2249999999999</v>
      </c>
      <c r="AK219">
        <v>1286.7449999999999</v>
      </c>
      <c r="AL219">
        <v>1283.7049999999999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XDY13"/>
  <sheetViews>
    <sheetView topLeftCell="D1" zoomScale="85" zoomScaleNormal="85" workbookViewId="0">
      <selection activeCell="Q7" sqref="Q7"/>
    </sheetView>
  </sheetViews>
  <sheetFormatPr defaultRowHeight="14.4" x14ac:dyDescent="0.3"/>
  <cols>
    <col min="1" max="1" width="21.33203125" customWidth="1"/>
    <col min="2" max="2" width="9.33203125" customWidth="1"/>
    <col min="3" max="3" width="11.44140625" customWidth="1"/>
    <col min="4" max="5" width="9.109375" style="73"/>
    <col min="6" max="9" width="9.109375" style="63"/>
    <col min="10" max="10" width="16.33203125" style="63" customWidth="1"/>
    <col min="11" max="13" width="8.44140625" style="63" customWidth="1"/>
    <col min="14" max="14" width="21.109375" style="63" customWidth="1"/>
    <col min="15" max="15" width="9.109375" style="63"/>
    <col min="16" max="17" width="10.5546875" style="63" customWidth="1"/>
    <col min="18" max="18" width="33" customWidth="1"/>
    <col min="19" max="19" width="19.6640625" customWidth="1"/>
  </cols>
  <sheetData>
    <row r="1" spans="1:16353" ht="58.2" thickBot="1" x14ac:dyDescent="0.35">
      <c r="A1" s="67" t="s">
        <v>143</v>
      </c>
      <c r="B1" s="67" t="s">
        <v>144</v>
      </c>
      <c r="C1" s="67" t="s">
        <v>145</v>
      </c>
      <c r="D1" s="67" t="s">
        <v>146</v>
      </c>
      <c r="E1" s="67" t="s">
        <v>147</v>
      </c>
      <c r="F1" s="67" t="s">
        <v>148</v>
      </c>
      <c r="G1" s="108" t="s">
        <v>536</v>
      </c>
      <c r="H1" s="67" t="s">
        <v>149</v>
      </c>
      <c r="I1" s="67" t="s">
        <v>150</v>
      </c>
      <c r="J1" s="108" t="s">
        <v>537</v>
      </c>
      <c r="K1" s="83" t="s">
        <v>198</v>
      </c>
      <c r="L1" s="83" t="s">
        <v>199</v>
      </c>
      <c r="M1" s="83" t="s">
        <v>200</v>
      </c>
      <c r="N1" s="83" t="s">
        <v>201</v>
      </c>
      <c r="O1" s="67" t="s">
        <v>151</v>
      </c>
      <c r="P1" s="67" t="s">
        <v>152</v>
      </c>
      <c r="Q1" s="108" t="s">
        <v>538</v>
      </c>
      <c r="R1" s="59" t="s">
        <v>196</v>
      </c>
      <c r="S1" s="68" t="s">
        <v>154</v>
      </c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  <c r="HA1" s="68"/>
      <c r="HB1" s="68"/>
      <c r="HC1" s="68"/>
      <c r="HD1" s="68"/>
      <c r="HE1" s="68"/>
      <c r="HF1" s="68"/>
      <c r="HG1" s="68"/>
      <c r="HH1" s="68"/>
      <c r="HI1" s="68"/>
      <c r="HJ1" s="68"/>
      <c r="HK1" s="68"/>
      <c r="HL1" s="68"/>
      <c r="HM1" s="68"/>
      <c r="HN1" s="68"/>
      <c r="HO1" s="68"/>
      <c r="HP1" s="68"/>
      <c r="HQ1" s="68"/>
      <c r="HR1" s="68"/>
      <c r="HS1" s="68"/>
      <c r="HT1" s="68"/>
      <c r="HU1" s="68"/>
      <c r="HV1" s="68"/>
      <c r="HW1" s="68"/>
      <c r="HX1" s="68"/>
      <c r="HY1" s="68"/>
      <c r="HZ1" s="68"/>
      <c r="IA1" s="68"/>
      <c r="IB1" s="68"/>
      <c r="IC1" s="68"/>
      <c r="ID1" s="68"/>
      <c r="IE1" s="68"/>
      <c r="IF1" s="68"/>
      <c r="IG1" s="68"/>
      <c r="IH1" s="68"/>
      <c r="II1" s="68"/>
      <c r="IJ1" s="68"/>
      <c r="IK1" s="68"/>
      <c r="IL1" s="68"/>
      <c r="IM1" s="68"/>
      <c r="IN1" s="68"/>
      <c r="IO1" s="68"/>
      <c r="IP1" s="68"/>
      <c r="IQ1" s="68"/>
      <c r="IR1" s="68"/>
      <c r="IS1" s="68"/>
      <c r="IT1" s="68"/>
      <c r="IU1" s="68"/>
      <c r="IV1" s="68"/>
      <c r="IW1" s="68"/>
      <c r="IX1" s="68"/>
      <c r="IY1" s="68"/>
      <c r="IZ1" s="68"/>
      <c r="JA1" s="68"/>
      <c r="JB1" s="68"/>
      <c r="JC1" s="68"/>
      <c r="JD1" s="68"/>
      <c r="JE1" s="68"/>
      <c r="JF1" s="68"/>
      <c r="JG1" s="68"/>
      <c r="JH1" s="68"/>
      <c r="JI1" s="68"/>
      <c r="JJ1" s="68"/>
      <c r="JK1" s="68"/>
      <c r="JL1" s="68"/>
      <c r="JM1" s="68"/>
      <c r="JN1" s="68"/>
      <c r="JO1" s="68"/>
      <c r="JP1" s="68"/>
      <c r="JQ1" s="68"/>
      <c r="JR1" s="68"/>
      <c r="JS1" s="68"/>
      <c r="JT1" s="68"/>
      <c r="JU1" s="68"/>
      <c r="JV1" s="68"/>
      <c r="JW1" s="68"/>
      <c r="JX1" s="68"/>
      <c r="JY1" s="68"/>
      <c r="JZ1" s="68"/>
      <c r="KA1" s="68"/>
      <c r="KB1" s="68"/>
      <c r="KC1" s="68"/>
      <c r="KD1" s="68"/>
      <c r="KE1" s="68"/>
      <c r="KF1" s="68"/>
      <c r="KG1" s="68"/>
      <c r="KH1" s="68"/>
      <c r="KI1" s="68"/>
      <c r="KJ1" s="68"/>
      <c r="KK1" s="68"/>
      <c r="KL1" s="68"/>
      <c r="KM1" s="68"/>
      <c r="KN1" s="68"/>
      <c r="KO1" s="68"/>
      <c r="KP1" s="68"/>
      <c r="KQ1" s="68"/>
      <c r="KR1" s="68"/>
      <c r="KS1" s="68"/>
      <c r="KT1" s="68"/>
      <c r="KU1" s="68"/>
      <c r="KV1" s="68"/>
      <c r="KW1" s="68"/>
      <c r="KX1" s="68"/>
      <c r="KY1" s="68"/>
      <c r="KZ1" s="68"/>
      <c r="LA1" s="68"/>
      <c r="LB1" s="68"/>
      <c r="LC1" s="68"/>
      <c r="LD1" s="68"/>
      <c r="LE1" s="68"/>
      <c r="LF1" s="68"/>
      <c r="LG1" s="68"/>
      <c r="LH1" s="68"/>
      <c r="LI1" s="68"/>
      <c r="LJ1" s="68"/>
      <c r="LK1" s="68"/>
      <c r="LL1" s="68"/>
      <c r="LM1" s="68"/>
      <c r="LN1" s="68"/>
      <c r="LO1" s="68"/>
      <c r="LP1" s="68"/>
      <c r="LQ1" s="68"/>
      <c r="LR1" s="68"/>
      <c r="LS1" s="68"/>
      <c r="LT1" s="68"/>
      <c r="LU1" s="68"/>
      <c r="LV1" s="68"/>
      <c r="LW1" s="68"/>
      <c r="LX1" s="68"/>
      <c r="LY1" s="68"/>
      <c r="LZ1" s="68"/>
      <c r="MA1" s="68"/>
      <c r="MB1" s="68"/>
      <c r="MC1" s="68"/>
      <c r="MD1" s="68"/>
      <c r="ME1" s="68"/>
      <c r="MF1" s="68"/>
      <c r="MG1" s="68"/>
      <c r="MH1" s="68"/>
      <c r="MI1" s="68"/>
      <c r="MJ1" s="68"/>
      <c r="MK1" s="68"/>
      <c r="ML1" s="68"/>
      <c r="MM1" s="68"/>
      <c r="MN1" s="68"/>
      <c r="MO1" s="68"/>
      <c r="MP1" s="68"/>
      <c r="MQ1" s="68"/>
      <c r="MR1" s="68"/>
      <c r="MS1" s="68"/>
      <c r="MT1" s="68"/>
      <c r="MU1" s="68"/>
      <c r="MV1" s="68"/>
      <c r="MW1" s="68"/>
      <c r="MX1" s="68"/>
      <c r="MY1" s="68"/>
      <c r="MZ1" s="68"/>
      <c r="NA1" s="68"/>
      <c r="NB1" s="68"/>
      <c r="NC1" s="68"/>
      <c r="ND1" s="68"/>
      <c r="NE1" s="68"/>
      <c r="NF1" s="68"/>
      <c r="NG1" s="68"/>
      <c r="NH1" s="68"/>
      <c r="NI1" s="68"/>
      <c r="NJ1" s="68"/>
      <c r="NK1" s="68"/>
      <c r="NL1" s="68"/>
      <c r="NM1" s="68"/>
      <c r="NN1" s="68"/>
      <c r="NO1" s="68"/>
      <c r="NP1" s="68"/>
      <c r="NQ1" s="68"/>
      <c r="NR1" s="68"/>
      <c r="NS1" s="68"/>
      <c r="NT1" s="68"/>
      <c r="NU1" s="68"/>
      <c r="NV1" s="68"/>
      <c r="NW1" s="68"/>
      <c r="NX1" s="68"/>
      <c r="NY1" s="68"/>
      <c r="NZ1" s="68"/>
      <c r="OA1" s="68"/>
      <c r="OB1" s="68"/>
      <c r="OC1" s="68"/>
      <c r="OD1" s="68"/>
      <c r="OE1" s="68"/>
      <c r="OF1" s="68"/>
      <c r="OG1" s="68"/>
      <c r="OH1" s="68"/>
      <c r="OI1" s="68"/>
      <c r="OJ1" s="68"/>
      <c r="OK1" s="68"/>
      <c r="OL1" s="68"/>
      <c r="OM1" s="68"/>
      <c r="ON1" s="68"/>
      <c r="OO1" s="68"/>
      <c r="OP1" s="68"/>
      <c r="OQ1" s="68"/>
      <c r="OR1" s="68"/>
      <c r="OS1" s="68"/>
      <c r="OT1" s="68"/>
      <c r="OU1" s="68"/>
      <c r="OV1" s="68"/>
      <c r="OW1" s="68"/>
      <c r="OX1" s="68"/>
      <c r="OY1" s="68"/>
      <c r="OZ1" s="68"/>
      <c r="PA1" s="68"/>
      <c r="PB1" s="68"/>
      <c r="PC1" s="68"/>
      <c r="PD1" s="68"/>
      <c r="PE1" s="68"/>
      <c r="PF1" s="68"/>
      <c r="PG1" s="68"/>
      <c r="PH1" s="68"/>
      <c r="PI1" s="68"/>
      <c r="PJ1" s="68"/>
      <c r="PK1" s="68"/>
      <c r="PL1" s="68"/>
      <c r="PM1" s="68"/>
      <c r="PN1" s="68"/>
      <c r="PO1" s="68"/>
      <c r="PP1" s="68"/>
      <c r="PQ1" s="68"/>
      <c r="PR1" s="68"/>
      <c r="PS1" s="68"/>
      <c r="PT1" s="68"/>
      <c r="PU1" s="68"/>
      <c r="PV1" s="68"/>
      <c r="PW1" s="68"/>
      <c r="PX1" s="68"/>
      <c r="PY1" s="68"/>
      <c r="PZ1" s="68"/>
      <c r="QA1" s="68"/>
      <c r="QB1" s="68"/>
      <c r="QC1" s="68"/>
      <c r="QD1" s="68"/>
      <c r="QE1" s="68"/>
      <c r="QF1" s="68"/>
      <c r="QG1" s="68"/>
      <c r="QH1" s="68"/>
      <c r="QI1" s="68"/>
      <c r="QJ1" s="68"/>
      <c r="QK1" s="68"/>
      <c r="QL1" s="68"/>
      <c r="QM1" s="68"/>
      <c r="QN1" s="68"/>
      <c r="QO1" s="68"/>
      <c r="QP1" s="68"/>
      <c r="QQ1" s="68"/>
      <c r="QR1" s="68"/>
      <c r="QS1" s="68"/>
      <c r="QT1" s="68"/>
      <c r="QU1" s="68"/>
      <c r="QV1" s="68"/>
      <c r="QW1" s="68"/>
      <c r="QX1" s="68"/>
      <c r="QY1" s="68"/>
      <c r="QZ1" s="68"/>
      <c r="RA1" s="68"/>
      <c r="RB1" s="68"/>
      <c r="RC1" s="68"/>
      <c r="RD1" s="68"/>
      <c r="RE1" s="68"/>
      <c r="RF1" s="68"/>
      <c r="RG1" s="68"/>
      <c r="RH1" s="68"/>
      <c r="RI1" s="68"/>
      <c r="RJ1" s="68"/>
      <c r="RK1" s="68"/>
      <c r="RL1" s="68"/>
      <c r="RM1" s="68"/>
      <c r="RN1" s="68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K1" s="68"/>
      <c r="SL1" s="68"/>
      <c r="SM1" s="68"/>
      <c r="SN1" s="68"/>
      <c r="SO1" s="68"/>
      <c r="SP1" s="68"/>
      <c r="SQ1" s="68"/>
      <c r="SR1" s="68"/>
      <c r="SS1" s="68"/>
      <c r="ST1" s="68"/>
      <c r="SU1" s="68"/>
      <c r="SV1" s="68"/>
      <c r="SW1" s="68"/>
      <c r="SX1" s="68"/>
      <c r="SY1" s="68"/>
      <c r="SZ1" s="68"/>
      <c r="TA1" s="68"/>
      <c r="TB1" s="68"/>
      <c r="TC1" s="68"/>
      <c r="TD1" s="68"/>
      <c r="TE1" s="68"/>
      <c r="TF1" s="68"/>
      <c r="TG1" s="68"/>
      <c r="TH1" s="68"/>
      <c r="TI1" s="68"/>
      <c r="TJ1" s="68"/>
      <c r="TK1" s="68"/>
      <c r="TL1" s="68"/>
      <c r="TM1" s="68"/>
      <c r="TN1" s="68"/>
      <c r="TO1" s="68"/>
      <c r="TP1" s="68"/>
      <c r="TQ1" s="68"/>
      <c r="TR1" s="68"/>
      <c r="TS1" s="68"/>
      <c r="TT1" s="68"/>
      <c r="TU1" s="68"/>
      <c r="TV1" s="68"/>
      <c r="TW1" s="68"/>
      <c r="TX1" s="68"/>
      <c r="TY1" s="68"/>
      <c r="TZ1" s="68"/>
      <c r="UA1" s="68"/>
      <c r="UB1" s="68"/>
      <c r="UC1" s="68"/>
      <c r="UD1" s="68"/>
      <c r="UE1" s="68"/>
      <c r="UF1" s="68"/>
      <c r="UG1" s="68"/>
      <c r="UH1" s="68"/>
      <c r="UI1" s="68"/>
      <c r="UJ1" s="68"/>
      <c r="UK1" s="68"/>
      <c r="UL1" s="68"/>
      <c r="UM1" s="68"/>
      <c r="UN1" s="68"/>
      <c r="UO1" s="68"/>
      <c r="UP1" s="68"/>
      <c r="UQ1" s="68"/>
      <c r="UR1" s="68"/>
      <c r="US1" s="68"/>
      <c r="UT1" s="68"/>
      <c r="UU1" s="68"/>
      <c r="UV1" s="68"/>
      <c r="UW1" s="68"/>
      <c r="UX1" s="68"/>
      <c r="UY1" s="68"/>
      <c r="UZ1" s="68"/>
      <c r="VA1" s="68"/>
      <c r="VB1" s="68"/>
      <c r="VC1" s="68"/>
      <c r="VD1" s="68"/>
      <c r="VE1" s="68"/>
      <c r="VF1" s="68"/>
      <c r="VG1" s="68"/>
      <c r="VH1" s="68"/>
      <c r="VI1" s="68"/>
      <c r="VJ1" s="68"/>
      <c r="VK1" s="68"/>
      <c r="VL1" s="68"/>
      <c r="VM1" s="68"/>
      <c r="VN1" s="68"/>
      <c r="VO1" s="68"/>
      <c r="VP1" s="68"/>
      <c r="VQ1" s="68"/>
      <c r="VR1" s="68"/>
      <c r="VS1" s="68"/>
      <c r="VT1" s="68"/>
      <c r="VU1" s="68"/>
      <c r="VV1" s="68"/>
      <c r="VW1" s="68"/>
      <c r="VX1" s="68"/>
      <c r="VY1" s="68"/>
      <c r="VZ1" s="68"/>
      <c r="WA1" s="68"/>
      <c r="WB1" s="68"/>
      <c r="WC1" s="68"/>
      <c r="WD1" s="68"/>
      <c r="WE1" s="68"/>
      <c r="WF1" s="68"/>
      <c r="WG1" s="68"/>
      <c r="WH1" s="68"/>
      <c r="WI1" s="68"/>
      <c r="WJ1" s="68"/>
      <c r="WK1" s="68"/>
      <c r="WL1" s="68"/>
      <c r="WM1" s="68"/>
      <c r="WN1" s="68"/>
      <c r="WO1" s="68"/>
      <c r="WP1" s="68"/>
      <c r="WQ1" s="68"/>
      <c r="WR1" s="68"/>
      <c r="WS1" s="68"/>
      <c r="WT1" s="68"/>
      <c r="WU1" s="68"/>
      <c r="WV1" s="68"/>
      <c r="WW1" s="68"/>
      <c r="WX1" s="68"/>
      <c r="WY1" s="68"/>
      <c r="WZ1" s="68"/>
      <c r="XA1" s="68"/>
      <c r="XB1" s="68"/>
      <c r="XC1" s="68"/>
      <c r="XD1" s="68"/>
      <c r="XE1" s="68"/>
      <c r="XF1" s="68"/>
      <c r="XG1" s="68"/>
      <c r="XH1" s="68"/>
      <c r="XI1" s="68"/>
      <c r="XJ1" s="68"/>
      <c r="XK1" s="68"/>
      <c r="XL1" s="68"/>
      <c r="XM1" s="68"/>
      <c r="XN1" s="68"/>
      <c r="XO1" s="68"/>
      <c r="XP1" s="68"/>
      <c r="XQ1" s="68"/>
      <c r="XR1" s="68"/>
      <c r="XS1" s="68"/>
      <c r="XT1" s="68"/>
      <c r="XU1" s="68"/>
      <c r="XV1" s="68"/>
      <c r="XW1" s="68"/>
      <c r="XX1" s="68"/>
      <c r="XY1" s="68"/>
      <c r="XZ1" s="68"/>
      <c r="YA1" s="68"/>
      <c r="YB1" s="68"/>
      <c r="YC1" s="68"/>
      <c r="YD1" s="68"/>
      <c r="YE1" s="68"/>
      <c r="YF1" s="68"/>
      <c r="YG1" s="68"/>
      <c r="YH1" s="68"/>
      <c r="YI1" s="68"/>
      <c r="YJ1" s="68"/>
      <c r="YK1" s="68"/>
      <c r="YL1" s="68"/>
      <c r="YM1" s="68"/>
      <c r="YN1" s="68"/>
      <c r="YO1" s="68"/>
      <c r="YP1" s="68"/>
      <c r="YQ1" s="68"/>
      <c r="YR1" s="68"/>
      <c r="YS1" s="68"/>
      <c r="YT1" s="68"/>
      <c r="YU1" s="68"/>
      <c r="YV1" s="68"/>
      <c r="YW1" s="68"/>
      <c r="YX1" s="68"/>
      <c r="YY1" s="68"/>
      <c r="YZ1" s="68"/>
      <c r="ZA1" s="68"/>
      <c r="ZB1" s="68"/>
      <c r="ZC1" s="68"/>
      <c r="ZD1" s="68"/>
      <c r="ZE1" s="68"/>
      <c r="ZF1" s="68"/>
      <c r="ZG1" s="68"/>
      <c r="ZH1" s="68"/>
      <c r="ZI1" s="68"/>
      <c r="ZJ1" s="68"/>
      <c r="ZK1" s="68"/>
      <c r="ZL1" s="68"/>
      <c r="ZM1" s="68"/>
      <c r="ZN1" s="68"/>
      <c r="ZO1" s="68"/>
      <c r="ZP1" s="68"/>
      <c r="ZQ1" s="68"/>
      <c r="ZR1" s="68"/>
      <c r="ZS1" s="68"/>
      <c r="ZT1" s="68"/>
      <c r="ZU1" s="68"/>
      <c r="ZV1" s="68"/>
      <c r="ZW1" s="68"/>
      <c r="ZX1" s="68"/>
      <c r="ZY1" s="68"/>
      <c r="ZZ1" s="68"/>
      <c r="AAA1" s="68"/>
      <c r="AAB1" s="68"/>
      <c r="AAC1" s="68"/>
      <c r="AAD1" s="68"/>
      <c r="AAE1" s="68"/>
      <c r="AAF1" s="68"/>
      <c r="AAG1" s="68"/>
      <c r="AAH1" s="68"/>
      <c r="AAI1" s="68"/>
      <c r="AAJ1" s="68"/>
      <c r="AAK1" s="68"/>
      <c r="AAL1" s="68"/>
      <c r="AAM1" s="68"/>
      <c r="AAN1" s="68"/>
      <c r="AAO1" s="68"/>
      <c r="AAP1" s="68"/>
      <c r="AAQ1" s="68"/>
      <c r="AAR1" s="68"/>
      <c r="AAS1" s="68"/>
      <c r="AAT1" s="68"/>
      <c r="AAU1" s="68"/>
      <c r="AAV1" s="68"/>
      <c r="AAW1" s="68"/>
      <c r="AAX1" s="68"/>
      <c r="AAY1" s="68"/>
      <c r="AAZ1" s="68"/>
      <c r="ABA1" s="68"/>
      <c r="ABB1" s="68"/>
      <c r="ABC1" s="68"/>
      <c r="ABD1" s="68"/>
      <c r="ABE1" s="68"/>
      <c r="ABF1" s="68"/>
      <c r="ABG1" s="68"/>
      <c r="ABH1" s="68"/>
      <c r="ABI1" s="68"/>
      <c r="ABJ1" s="68"/>
      <c r="ABK1" s="68"/>
      <c r="ABL1" s="68"/>
      <c r="ABM1" s="68"/>
      <c r="ABN1" s="68"/>
      <c r="ABO1" s="68"/>
      <c r="ABP1" s="68"/>
      <c r="ABQ1" s="68"/>
      <c r="ABR1" s="68"/>
      <c r="ABS1" s="68"/>
      <c r="ABT1" s="68"/>
      <c r="ABU1" s="68"/>
      <c r="ABV1" s="68"/>
      <c r="ABW1" s="68"/>
      <c r="ABX1" s="68"/>
      <c r="ABY1" s="68"/>
      <c r="ABZ1" s="68"/>
      <c r="ACA1" s="68"/>
      <c r="ACB1" s="68"/>
      <c r="ACC1" s="68"/>
      <c r="ACD1" s="68"/>
      <c r="ACE1" s="68"/>
      <c r="ACF1" s="68"/>
      <c r="ACG1" s="68"/>
      <c r="ACH1" s="68"/>
      <c r="ACI1" s="68"/>
      <c r="ACJ1" s="68"/>
      <c r="ACK1" s="68"/>
      <c r="ACL1" s="68"/>
      <c r="ACM1" s="68"/>
      <c r="ACN1" s="68"/>
      <c r="ACO1" s="68"/>
      <c r="ACP1" s="68"/>
      <c r="ACQ1" s="68"/>
      <c r="ACR1" s="68"/>
      <c r="ACS1" s="68"/>
      <c r="ACT1" s="68"/>
      <c r="ACU1" s="68"/>
      <c r="ACV1" s="68"/>
      <c r="ACW1" s="68"/>
      <c r="ACX1" s="68"/>
      <c r="ACY1" s="68"/>
      <c r="ACZ1" s="68"/>
      <c r="ADA1" s="68"/>
      <c r="ADB1" s="68"/>
      <c r="ADC1" s="68"/>
      <c r="ADD1" s="68"/>
      <c r="ADE1" s="68"/>
      <c r="ADF1" s="68"/>
      <c r="ADG1" s="68"/>
      <c r="ADH1" s="68"/>
      <c r="ADI1" s="68"/>
      <c r="ADJ1" s="68"/>
      <c r="ADK1" s="68"/>
      <c r="ADL1" s="68"/>
      <c r="ADM1" s="68"/>
      <c r="ADN1" s="68"/>
      <c r="ADO1" s="68"/>
      <c r="ADP1" s="68"/>
      <c r="ADQ1" s="68"/>
      <c r="ADR1" s="68"/>
      <c r="ADS1" s="68"/>
      <c r="ADT1" s="68"/>
      <c r="ADU1" s="68"/>
      <c r="ADV1" s="68"/>
      <c r="ADW1" s="68"/>
      <c r="ADX1" s="68"/>
      <c r="ADY1" s="68"/>
      <c r="ADZ1" s="68"/>
      <c r="AEA1" s="68"/>
      <c r="AEB1" s="68"/>
      <c r="AEC1" s="68"/>
      <c r="AED1" s="68"/>
      <c r="AEE1" s="68"/>
      <c r="AEF1" s="68"/>
      <c r="AEG1" s="68"/>
      <c r="AEH1" s="68"/>
      <c r="AEI1" s="68"/>
      <c r="AEJ1" s="68"/>
      <c r="AEK1" s="68"/>
      <c r="AEL1" s="68"/>
      <c r="AEM1" s="68"/>
      <c r="AEN1" s="68"/>
      <c r="AEO1" s="68"/>
      <c r="AEP1" s="68"/>
      <c r="AEQ1" s="68"/>
      <c r="AER1" s="68"/>
      <c r="AES1" s="68"/>
      <c r="AET1" s="68"/>
      <c r="AEU1" s="68"/>
      <c r="AEV1" s="68"/>
      <c r="AEW1" s="68"/>
      <c r="AEX1" s="68"/>
      <c r="AEY1" s="68"/>
      <c r="AEZ1" s="68"/>
      <c r="AFA1" s="68"/>
      <c r="AFB1" s="68"/>
      <c r="AFC1" s="68"/>
      <c r="AFD1" s="68"/>
      <c r="AFE1" s="68"/>
      <c r="AFF1" s="68"/>
      <c r="AFG1" s="68"/>
      <c r="AFH1" s="68"/>
      <c r="AFI1" s="68"/>
      <c r="AFJ1" s="68"/>
      <c r="AFK1" s="68"/>
      <c r="AFL1" s="68"/>
      <c r="AFM1" s="68"/>
      <c r="AFN1" s="68"/>
      <c r="AFO1" s="68"/>
      <c r="AFP1" s="68"/>
      <c r="AFQ1" s="68"/>
      <c r="AFR1" s="68"/>
      <c r="AFS1" s="68"/>
      <c r="AFT1" s="68"/>
      <c r="AFU1" s="68"/>
      <c r="AFV1" s="68"/>
      <c r="AFW1" s="68"/>
      <c r="AFX1" s="68"/>
      <c r="AFY1" s="68"/>
      <c r="AFZ1" s="68"/>
      <c r="AGA1" s="68"/>
      <c r="AGB1" s="68"/>
      <c r="AGC1" s="68"/>
      <c r="AGD1" s="68"/>
      <c r="AGE1" s="68"/>
      <c r="AGF1" s="68"/>
      <c r="AGG1" s="68"/>
      <c r="AGH1" s="68"/>
      <c r="AGI1" s="68"/>
      <c r="AGJ1" s="68"/>
      <c r="AGK1" s="68"/>
      <c r="AGL1" s="68"/>
      <c r="AGM1" s="68"/>
      <c r="AGN1" s="68"/>
      <c r="AGO1" s="68"/>
      <c r="AGP1" s="68"/>
      <c r="AGQ1" s="68"/>
      <c r="AGR1" s="68"/>
      <c r="AGS1" s="68"/>
      <c r="AGT1" s="68"/>
      <c r="AGU1" s="68"/>
      <c r="AGV1" s="68"/>
      <c r="AGW1" s="68"/>
      <c r="AGX1" s="68"/>
      <c r="AGY1" s="68"/>
      <c r="AGZ1" s="68"/>
      <c r="AHA1" s="68"/>
      <c r="AHB1" s="68"/>
      <c r="AHC1" s="68"/>
      <c r="AHD1" s="68"/>
      <c r="AHE1" s="68"/>
      <c r="AHF1" s="68"/>
      <c r="AHG1" s="68"/>
      <c r="AHH1" s="68"/>
      <c r="AHI1" s="68"/>
      <c r="AHJ1" s="68"/>
      <c r="AHK1" s="68"/>
      <c r="AHL1" s="68"/>
      <c r="AHM1" s="68"/>
      <c r="AHN1" s="68"/>
      <c r="AHO1" s="68"/>
      <c r="AHP1" s="68"/>
      <c r="AHQ1" s="68"/>
      <c r="AHR1" s="68"/>
      <c r="AHS1" s="68"/>
      <c r="AHT1" s="68"/>
      <c r="AHU1" s="68"/>
      <c r="AHV1" s="68"/>
      <c r="AHW1" s="68"/>
      <c r="AHX1" s="68"/>
      <c r="AHY1" s="68"/>
      <c r="AHZ1" s="68"/>
      <c r="AIA1" s="68"/>
      <c r="AIB1" s="68"/>
      <c r="AIC1" s="68"/>
      <c r="AID1" s="68"/>
      <c r="AIE1" s="68"/>
      <c r="AIF1" s="68"/>
      <c r="AIG1" s="68"/>
      <c r="AIH1" s="68"/>
      <c r="AII1" s="68"/>
      <c r="AIJ1" s="68"/>
      <c r="AIK1" s="68"/>
      <c r="AIL1" s="68"/>
      <c r="AIM1" s="68"/>
      <c r="AIN1" s="68"/>
      <c r="AIO1" s="68"/>
      <c r="AIP1" s="68"/>
      <c r="AIQ1" s="68"/>
      <c r="AIR1" s="68"/>
      <c r="AIS1" s="68"/>
      <c r="AIT1" s="68"/>
      <c r="AIU1" s="68"/>
      <c r="AIV1" s="68"/>
      <c r="AIW1" s="68"/>
      <c r="AIX1" s="68"/>
      <c r="AIY1" s="68"/>
      <c r="AIZ1" s="68"/>
      <c r="AJA1" s="68"/>
      <c r="AJB1" s="68"/>
      <c r="AJC1" s="68"/>
      <c r="AJD1" s="68"/>
      <c r="AJE1" s="68"/>
      <c r="AJF1" s="68"/>
      <c r="AJG1" s="68"/>
      <c r="AJH1" s="68"/>
      <c r="AJI1" s="68"/>
      <c r="AJJ1" s="68"/>
      <c r="AJK1" s="68"/>
      <c r="AJL1" s="68"/>
      <c r="AJM1" s="68"/>
      <c r="AJN1" s="68"/>
      <c r="AJO1" s="68"/>
      <c r="AJP1" s="68"/>
      <c r="AJQ1" s="68"/>
      <c r="AJR1" s="68"/>
      <c r="AJS1" s="68"/>
      <c r="AJT1" s="68"/>
      <c r="AJU1" s="68"/>
      <c r="AJV1" s="68"/>
      <c r="AJW1" s="68"/>
      <c r="AJX1" s="68"/>
      <c r="AJY1" s="68"/>
      <c r="AJZ1" s="68"/>
      <c r="AKA1" s="68"/>
      <c r="AKB1" s="68"/>
      <c r="AKC1" s="68"/>
      <c r="AKD1" s="68"/>
      <c r="AKE1" s="68"/>
      <c r="AKF1" s="68"/>
      <c r="AKG1" s="68"/>
      <c r="AKH1" s="68"/>
      <c r="AKI1" s="68"/>
      <c r="AKJ1" s="68"/>
      <c r="AKK1" s="68"/>
      <c r="AKL1" s="68"/>
      <c r="AKM1" s="68"/>
      <c r="AKN1" s="68"/>
      <c r="AKO1" s="68"/>
      <c r="AKP1" s="68"/>
      <c r="AKQ1" s="68"/>
      <c r="AKR1" s="68"/>
      <c r="AKS1" s="68"/>
      <c r="AKT1" s="68"/>
      <c r="AKU1" s="68"/>
      <c r="AKV1" s="68"/>
      <c r="AKW1" s="68"/>
      <c r="AKX1" s="68"/>
      <c r="AKY1" s="68"/>
      <c r="AKZ1" s="68"/>
      <c r="ALA1" s="68"/>
      <c r="ALB1" s="68"/>
      <c r="ALC1" s="68"/>
      <c r="ALD1" s="68"/>
      <c r="ALE1" s="68"/>
      <c r="ALF1" s="68"/>
      <c r="ALG1" s="68"/>
      <c r="ALH1" s="68"/>
      <c r="ALI1" s="68"/>
      <c r="ALJ1" s="68"/>
      <c r="ALK1" s="68"/>
      <c r="ALL1" s="68"/>
      <c r="ALM1" s="68"/>
      <c r="ALN1" s="68"/>
      <c r="ALO1" s="68"/>
      <c r="ALP1" s="68"/>
      <c r="ALQ1" s="68"/>
      <c r="ALR1" s="68"/>
      <c r="ALS1" s="68"/>
      <c r="ALT1" s="68"/>
      <c r="ALU1" s="68"/>
      <c r="ALV1" s="68"/>
      <c r="ALW1" s="68"/>
      <c r="ALX1" s="68"/>
      <c r="ALY1" s="68"/>
      <c r="ALZ1" s="68"/>
      <c r="AMA1" s="68"/>
      <c r="AMB1" s="68"/>
      <c r="AMC1" s="68"/>
      <c r="AMD1" s="68"/>
      <c r="AME1" s="68"/>
      <c r="AMF1" s="68"/>
      <c r="AMG1" s="68"/>
      <c r="AMH1" s="68"/>
      <c r="AMI1" s="68"/>
      <c r="AMJ1" s="68"/>
      <c r="AMK1" s="68"/>
      <c r="AML1" s="68"/>
      <c r="AMM1" s="68"/>
      <c r="AMN1" s="68"/>
      <c r="AMO1" s="68"/>
      <c r="AMP1" s="68"/>
      <c r="AMQ1" s="68"/>
      <c r="AMR1" s="68"/>
      <c r="AMS1" s="68"/>
      <c r="AMT1" s="68"/>
      <c r="AMU1" s="68"/>
      <c r="AMV1" s="68"/>
      <c r="AMW1" s="68"/>
      <c r="AMX1" s="68"/>
      <c r="AMY1" s="68"/>
      <c r="AMZ1" s="68"/>
      <c r="ANA1" s="68"/>
      <c r="ANB1" s="68"/>
      <c r="ANC1" s="68"/>
      <c r="AND1" s="68"/>
      <c r="ANE1" s="68"/>
      <c r="ANF1" s="68"/>
      <c r="ANG1" s="68"/>
      <c r="ANH1" s="68"/>
      <c r="ANI1" s="68"/>
      <c r="ANJ1" s="68"/>
      <c r="ANK1" s="68"/>
      <c r="ANL1" s="68"/>
      <c r="ANM1" s="68"/>
      <c r="ANN1" s="68"/>
      <c r="ANO1" s="68"/>
      <c r="ANP1" s="68"/>
      <c r="ANQ1" s="68"/>
      <c r="ANR1" s="68"/>
      <c r="ANS1" s="68"/>
      <c r="ANT1" s="68"/>
      <c r="ANU1" s="68"/>
      <c r="ANV1" s="68"/>
      <c r="ANW1" s="68"/>
      <c r="ANX1" s="68"/>
      <c r="ANY1" s="68"/>
      <c r="ANZ1" s="68"/>
      <c r="AOA1" s="68"/>
      <c r="AOB1" s="68"/>
      <c r="AOC1" s="68"/>
      <c r="AOD1" s="68"/>
      <c r="AOE1" s="68"/>
      <c r="AOF1" s="68"/>
      <c r="AOG1" s="68"/>
      <c r="AOH1" s="68"/>
      <c r="AOI1" s="68"/>
      <c r="AOJ1" s="68"/>
      <c r="AOK1" s="68"/>
      <c r="AOL1" s="68"/>
      <c r="AOM1" s="68"/>
      <c r="AON1" s="68"/>
      <c r="AOO1" s="68"/>
      <c r="AOP1" s="68"/>
      <c r="AOQ1" s="68"/>
      <c r="AOR1" s="68"/>
      <c r="AOS1" s="68"/>
      <c r="AOT1" s="68"/>
      <c r="AOU1" s="68"/>
      <c r="AOV1" s="68"/>
      <c r="AOW1" s="68"/>
      <c r="AOX1" s="68"/>
      <c r="AOY1" s="68"/>
      <c r="AOZ1" s="68"/>
      <c r="APA1" s="68"/>
      <c r="APB1" s="68"/>
      <c r="APC1" s="68"/>
      <c r="APD1" s="68"/>
      <c r="APE1" s="68"/>
      <c r="APF1" s="68"/>
      <c r="APG1" s="68"/>
      <c r="APH1" s="68"/>
      <c r="API1" s="68"/>
      <c r="APJ1" s="68"/>
      <c r="APK1" s="68"/>
      <c r="APL1" s="68"/>
      <c r="APM1" s="68"/>
      <c r="APN1" s="68"/>
      <c r="APO1" s="68"/>
      <c r="APP1" s="68"/>
      <c r="APQ1" s="68"/>
      <c r="APR1" s="68"/>
      <c r="APS1" s="68"/>
      <c r="APT1" s="68"/>
      <c r="APU1" s="68"/>
      <c r="APV1" s="68"/>
      <c r="APW1" s="68"/>
      <c r="APX1" s="68"/>
      <c r="APY1" s="68"/>
      <c r="APZ1" s="68"/>
      <c r="AQA1" s="68"/>
      <c r="AQB1" s="68"/>
      <c r="AQC1" s="68"/>
      <c r="AQD1" s="68"/>
      <c r="AQE1" s="68"/>
      <c r="AQF1" s="68"/>
      <c r="AQG1" s="68"/>
      <c r="AQH1" s="68"/>
      <c r="AQI1" s="68"/>
      <c r="AQJ1" s="68"/>
      <c r="AQK1" s="68"/>
      <c r="AQL1" s="68"/>
      <c r="AQM1" s="68"/>
      <c r="AQN1" s="68"/>
      <c r="AQO1" s="68"/>
      <c r="AQP1" s="68"/>
      <c r="AQQ1" s="68"/>
      <c r="AQR1" s="68"/>
      <c r="AQS1" s="68"/>
      <c r="AQT1" s="68"/>
      <c r="AQU1" s="68"/>
      <c r="AQV1" s="68"/>
      <c r="AQW1" s="68"/>
      <c r="AQX1" s="68"/>
      <c r="AQY1" s="68"/>
      <c r="AQZ1" s="68"/>
      <c r="ARA1" s="68"/>
      <c r="ARB1" s="68"/>
      <c r="ARC1" s="68"/>
      <c r="ARD1" s="68"/>
      <c r="ARE1" s="68"/>
      <c r="ARF1" s="68"/>
      <c r="ARG1" s="68"/>
      <c r="ARH1" s="68"/>
      <c r="ARI1" s="68"/>
      <c r="ARJ1" s="68"/>
      <c r="ARK1" s="68"/>
      <c r="ARL1" s="68"/>
      <c r="ARM1" s="68"/>
      <c r="ARN1" s="68"/>
      <c r="ARO1" s="68"/>
      <c r="ARP1" s="68"/>
      <c r="ARQ1" s="68"/>
      <c r="ARR1" s="68"/>
      <c r="ARS1" s="68"/>
      <c r="ART1" s="68"/>
      <c r="ARU1" s="68"/>
      <c r="ARV1" s="68"/>
      <c r="ARW1" s="68"/>
      <c r="ARX1" s="68"/>
      <c r="ARY1" s="68"/>
      <c r="ARZ1" s="68"/>
      <c r="ASA1" s="68"/>
      <c r="ASB1" s="68"/>
      <c r="ASC1" s="68"/>
      <c r="ASD1" s="68"/>
      <c r="ASE1" s="68"/>
      <c r="ASF1" s="68"/>
      <c r="ASG1" s="68"/>
      <c r="ASH1" s="68"/>
      <c r="ASI1" s="68"/>
      <c r="ASJ1" s="68"/>
      <c r="ASK1" s="68"/>
      <c r="ASL1" s="68"/>
      <c r="ASM1" s="68"/>
      <c r="ASN1" s="68"/>
      <c r="ASO1" s="68"/>
      <c r="ASP1" s="68"/>
      <c r="ASQ1" s="68"/>
      <c r="ASR1" s="68"/>
      <c r="ASS1" s="68"/>
      <c r="AST1" s="68"/>
      <c r="ASU1" s="68"/>
      <c r="ASV1" s="68"/>
      <c r="ASW1" s="68"/>
      <c r="ASX1" s="68"/>
      <c r="ASY1" s="68"/>
      <c r="ASZ1" s="68"/>
      <c r="ATA1" s="68"/>
      <c r="ATB1" s="68"/>
      <c r="ATC1" s="68"/>
      <c r="ATD1" s="68"/>
      <c r="ATE1" s="68"/>
      <c r="ATF1" s="68"/>
      <c r="ATG1" s="68"/>
      <c r="ATH1" s="68"/>
      <c r="ATI1" s="68"/>
      <c r="ATJ1" s="68"/>
      <c r="ATK1" s="68"/>
      <c r="ATL1" s="68"/>
      <c r="ATM1" s="68"/>
      <c r="ATN1" s="68"/>
      <c r="ATO1" s="68"/>
      <c r="ATP1" s="68"/>
      <c r="ATQ1" s="68"/>
      <c r="ATR1" s="68"/>
      <c r="ATS1" s="68"/>
      <c r="ATT1" s="68"/>
      <c r="ATU1" s="68"/>
      <c r="ATV1" s="68"/>
      <c r="ATW1" s="68"/>
      <c r="ATX1" s="68"/>
      <c r="ATY1" s="68"/>
      <c r="ATZ1" s="68"/>
      <c r="AUA1" s="68"/>
      <c r="AUB1" s="68"/>
      <c r="AUC1" s="68"/>
      <c r="AUD1" s="68"/>
      <c r="AUE1" s="68"/>
      <c r="AUF1" s="68"/>
      <c r="AUG1" s="68"/>
      <c r="AUH1" s="68"/>
      <c r="AUI1" s="68"/>
      <c r="AUJ1" s="68"/>
      <c r="AUK1" s="68"/>
      <c r="AUL1" s="68"/>
      <c r="AUM1" s="68"/>
      <c r="AUN1" s="68"/>
      <c r="AUO1" s="68"/>
      <c r="AUP1" s="68"/>
      <c r="AUQ1" s="68"/>
      <c r="AUR1" s="68"/>
      <c r="AUS1" s="68"/>
      <c r="AUT1" s="68"/>
      <c r="AUU1" s="68"/>
      <c r="AUV1" s="68"/>
      <c r="AUW1" s="68"/>
      <c r="AUX1" s="68"/>
      <c r="AUY1" s="68"/>
      <c r="AUZ1" s="68"/>
      <c r="AVA1" s="68"/>
      <c r="AVB1" s="68"/>
      <c r="AVC1" s="68"/>
      <c r="AVD1" s="68"/>
      <c r="AVE1" s="68"/>
      <c r="AVF1" s="68"/>
      <c r="AVG1" s="68"/>
      <c r="AVH1" s="68"/>
      <c r="AVI1" s="68"/>
      <c r="AVJ1" s="68"/>
      <c r="AVK1" s="68"/>
      <c r="AVL1" s="68"/>
      <c r="AVM1" s="68"/>
      <c r="AVN1" s="68"/>
      <c r="AVO1" s="68"/>
      <c r="AVP1" s="68"/>
      <c r="AVQ1" s="68"/>
      <c r="AVR1" s="68"/>
      <c r="AVS1" s="68"/>
      <c r="AVT1" s="68"/>
      <c r="AVU1" s="68"/>
      <c r="AVV1" s="68"/>
      <c r="AVW1" s="68"/>
      <c r="AVX1" s="68"/>
      <c r="AVY1" s="68"/>
      <c r="AVZ1" s="68"/>
      <c r="AWA1" s="68"/>
      <c r="AWB1" s="68"/>
      <c r="AWC1" s="68"/>
      <c r="AWD1" s="68"/>
      <c r="AWE1" s="68"/>
      <c r="AWF1" s="68"/>
      <c r="AWG1" s="68"/>
      <c r="AWH1" s="68"/>
      <c r="AWI1" s="68"/>
      <c r="AWJ1" s="68"/>
      <c r="AWK1" s="68"/>
      <c r="AWL1" s="68"/>
      <c r="AWM1" s="68"/>
      <c r="AWN1" s="68"/>
      <c r="AWO1" s="68"/>
      <c r="AWP1" s="68"/>
      <c r="AWQ1" s="68"/>
      <c r="AWR1" s="68"/>
      <c r="AWS1" s="68"/>
      <c r="AWT1" s="68"/>
      <c r="AWU1" s="68"/>
      <c r="AWV1" s="68"/>
      <c r="AWW1" s="68"/>
      <c r="AWX1" s="68"/>
      <c r="AWY1" s="68"/>
      <c r="AWZ1" s="68"/>
      <c r="AXA1" s="68"/>
      <c r="AXB1" s="68"/>
      <c r="AXC1" s="68"/>
      <c r="AXD1" s="68"/>
      <c r="AXE1" s="68"/>
      <c r="AXF1" s="68"/>
      <c r="AXG1" s="68"/>
      <c r="AXH1" s="68"/>
      <c r="AXI1" s="68"/>
      <c r="AXJ1" s="68"/>
      <c r="AXK1" s="68"/>
      <c r="AXL1" s="68"/>
      <c r="AXM1" s="68"/>
      <c r="AXN1" s="68"/>
      <c r="AXO1" s="68"/>
      <c r="AXP1" s="68"/>
      <c r="AXQ1" s="68"/>
      <c r="AXR1" s="68"/>
      <c r="AXS1" s="68"/>
      <c r="AXT1" s="68"/>
      <c r="AXU1" s="68"/>
      <c r="AXV1" s="68"/>
      <c r="AXW1" s="68"/>
      <c r="AXX1" s="68"/>
      <c r="AXY1" s="68"/>
      <c r="AXZ1" s="68"/>
      <c r="AYA1" s="68"/>
      <c r="AYB1" s="68"/>
      <c r="AYC1" s="68"/>
      <c r="AYD1" s="68"/>
      <c r="AYE1" s="68"/>
      <c r="AYF1" s="68"/>
      <c r="AYG1" s="68"/>
      <c r="AYH1" s="68"/>
      <c r="AYI1" s="68"/>
      <c r="AYJ1" s="68"/>
      <c r="AYK1" s="68"/>
      <c r="AYL1" s="68"/>
      <c r="AYM1" s="68"/>
      <c r="AYN1" s="68"/>
      <c r="AYO1" s="68"/>
      <c r="AYP1" s="68"/>
      <c r="AYQ1" s="68"/>
      <c r="AYR1" s="68"/>
      <c r="AYS1" s="68"/>
      <c r="AYT1" s="68"/>
      <c r="AYU1" s="68"/>
      <c r="AYV1" s="68"/>
      <c r="AYW1" s="68"/>
      <c r="AYX1" s="68"/>
      <c r="AYY1" s="68"/>
      <c r="AYZ1" s="68"/>
      <c r="AZA1" s="68"/>
      <c r="AZB1" s="68"/>
      <c r="AZC1" s="68"/>
      <c r="AZD1" s="68"/>
      <c r="AZE1" s="68"/>
      <c r="AZF1" s="68"/>
      <c r="AZG1" s="68"/>
      <c r="AZH1" s="68"/>
      <c r="AZI1" s="68"/>
      <c r="AZJ1" s="68"/>
      <c r="AZK1" s="68"/>
      <c r="AZL1" s="68"/>
      <c r="AZM1" s="68"/>
      <c r="AZN1" s="68"/>
      <c r="AZO1" s="68"/>
      <c r="AZP1" s="68"/>
      <c r="AZQ1" s="68"/>
      <c r="AZR1" s="68"/>
      <c r="AZS1" s="68"/>
      <c r="AZT1" s="68"/>
      <c r="AZU1" s="68"/>
      <c r="AZV1" s="68"/>
      <c r="AZW1" s="68"/>
      <c r="AZX1" s="68"/>
      <c r="AZY1" s="68"/>
      <c r="AZZ1" s="68"/>
      <c r="BAA1" s="68"/>
      <c r="BAB1" s="68"/>
      <c r="BAC1" s="68"/>
      <c r="BAD1" s="68"/>
      <c r="BAE1" s="68"/>
      <c r="BAF1" s="68"/>
      <c r="BAG1" s="68"/>
      <c r="BAH1" s="68"/>
      <c r="BAI1" s="68"/>
      <c r="BAJ1" s="68"/>
      <c r="BAK1" s="68"/>
      <c r="BAL1" s="68"/>
      <c r="BAM1" s="68"/>
      <c r="BAN1" s="68"/>
      <c r="BAO1" s="68"/>
      <c r="BAP1" s="68"/>
      <c r="BAQ1" s="68"/>
      <c r="BAR1" s="68"/>
      <c r="BAS1" s="68"/>
      <c r="BAT1" s="68"/>
      <c r="BAU1" s="68"/>
      <c r="BAV1" s="68"/>
      <c r="BAW1" s="68"/>
      <c r="BAX1" s="68"/>
      <c r="BAY1" s="68"/>
      <c r="BAZ1" s="68"/>
      <c r="BBA1" s="68"/>
      <c r="BBB1" s="68"/>
      <c r="BBC1" s="68"/>
      <c r="BBD1" s="68"/>
      <c r="BBE1" s="68"/>
      <c r="BBF1" s="68"/>
      <c r="BBG1" s="68"/>
      <c r="BBH1" s="68"/>
      <c r="BBI1" s="68"/>
      <c r="BBJ1" s="68"/>
      <c r="BBK1" s="68"/>
      <c r="BBL1" s="68"/>
      <c r="BBM1" s="68"/>
      <c r="BBN1" s="68"/>
      <c r="BBO1" s="68"/>
      <c r="BBP1" s="68"/>
      <c r="BBQ1" s="68"/>
      <c r="BBR1" s="68"/>
      <c r="BBS1" s="68"/>
      <c r="BBT1" s="68"/>
      <c r="BBU1" s="68"/>
      <c r="BBV1" s="68"/>
      <c r="BBW1" s="68"/>
      <c r="BBX1" s="68"/>
      <c r="BBY1" s="68"/>
      <c r="BBZ1" s="68"/>
      <c r="BCA1" s="68"/>
      <c r="BCB1" s="68"/>
      <c r="BCC1" s="68"/>
      <c r="BCD1" s="68"/>
      <c r="BCE1" s="68"/>
      <c r="BCF1" s="68"/>
      <c r="BCG1" s="68"/>
      <c r="BCH1" s="68"/>
      <c r="BCI1" s="68"/>
      <c r="BCJ1" s="68"/>
      <c r="BCK1" s="68"/>
      <c r="BCL1" s="68"/>
      <c r="BCM1" s="68"/>
      <c r="BCN1" s="68"/>
      <c r="BCO1" s="68"/>
      <c r="BCP1" s="68"/>
      <c r="BCQ1" s="68"/>
      <c r="BCR1" s="68"/>
      <c r="BCS1" s="68"/>
      <c r="BCT1" s="68"/>
      <c r="BCU1" s="68"/>
      <c r="BCV1" s="68"/>
      <c r="BCW1" s="68"/>
      <c r="BCX1" s="68"/>
      <c r="BCY1" s="68"/>
      <c r="BCZ1" s="68"/>
      <c r="BDA1" s="68"/>
      <c r="BDB1" s="68"/>
      <c r="BDC1" s="68"/>
      <c r="BDD1" s="68"/>
      <c r="BDE1" s="68"/>
      <c r="BDF1" s="68"/>
      <c r="BDG1" s="68"/>
      <c r="BDH1" s="68"/>
      <c r="BDI1" s="68"/>
      <c r="BDJ1" s="68"/>
      <c r="BDK1" s="68"/>
      <c r="BDL1" s="68"/>
      <c r="BDM1" s="68"/>
      <c r="BDN1" s="68"/>
      <c r="BDO1" s="68"/>
      <c r="BDP1" s="68"/>
      <c r="BDQ1" s="68"/>
      <c r="BDR1" s="68"/>
      <c r="BDS1" s="68"/>
      <c r="BDT1" s="68"/>
      <c r="BDU1" s="68"/>
      <c r="BDV1" s="68"/>
      <c r="BDW1" s="68"/>
      <c r="BDX1" s="68"/>
      <c r="BDY1" s="68"/>
      <c r="BDZ1" s="68"/>
      <c r="BEA1" s="68"/>
      <c r="BEB1" s="68"/>
      <c r="BEC1" s="68"/>
      <c r="BED1" s="68"/>
      <c r="BEE1" s="68"/>
      <c r="BEF1" s="68"/>
      <c r="BEG1" s="68"/>
      <c r="BEH1" s="68"/>
      <c r="BEI1" s="68"/>
      <c r="BEJ1" s="68"/>
      <c r="BEK1" s="68"/>
      <c r="BEL1" s="68"/>
      <c r="BEM1" s="68"/>
      <c r="BEN1" s="68"/>
      <c r="BEO1" s="68"/>
      <c r="BEP1" s="68"/>
      <c r="BEQ1" s="68"/>
      <c r="BER1" s="68"/>
      <c r="BES1" s="68"/>
      <c r="BET1" s="68"/>
      <c r="BEU1" s="68"/>
      <c r="BEV1" s="68"/>
      <c r="BEW1" s="68"/>
      <c r="BEX1" s="68"/>
      <c r="BEY1" s="68"/>
      <c r="BEZ1" s="68"/>
      <c r="BFA1" s="68"/>
      <c r="BFB1" s="68"/>
      <c r="BFC1" s="68"/>
      <c r="BFD1" s="68"/>
      <c r="BFE1" s="68"/>
      <c r="BFF1" s="68"/>
      <c r="BFG1" s="68"/>
      <c r="BFH1" s="68"/>
      <c r="BFI1" s="68"/>
      <c r="BFJ1" s="68"/>
      <c r="BFK1" s="68"/>
      <c r="BFL1" s="68"/>
      <c r="BFM1" s="68"/>
      <c r="BFN1" s="68"/>
      <c r="BFO1" s="68"/>
      <c r="BFP1" s="68"/>
      <c r="BFQ1" s="68"/>
      <c r="BFR1" s="68"/>
      <c r="BFS1" s="68"/>
      <c r="BFT1" s="68"/>
      <c r="BFU1" s="68"/>
      <c r="BFV1" s="68"/>
      <c r="BFW1" s="68"/>
      <c r="BFX1" s="68"/>
      <c r="BFY1" s="68"/>
      <c r="BFZ1" s="68"/>
      <c r="BGA1" s="68"/>
      <c r="BGB1" s="68"/>
      <c r="BGC1" s="68"/>
      <c r="BGD1" s="68"/>
      <c r="BGE1" s="68"/>
      <c r="BGF1" s="68"/>
      <c r="BGG1" s="68"/>
      <c r="BGH1" s="68"/>
      <c r="BGI1" s="68"/>
      <c r="BGJ1" s="68"/>
      <c r="BGK1" s="68"/>
      <c r="BGL1" s="68"/>
      <c r="BGM1" s="68"/>
      <c r="BGN1" s="68"/>
      <c r="BGO1" s="68"/>
      <c r="BGP1" s="68"/>
      <c r="BGQ1" s="68"/>
      <c r="BGR1" s="68"/>
      <c r="BGS1" s="68"/>
      <c r="BGT1" s="68"/>
      <c r="BGU1" s="68"/>
      <c r="BGV1" s="68"/>
      <c r="BGW1" s="68"/>
      <c r="BGX1" s="68"/>
      <c r="BGY1" s="68"/>
      <c r="BGZ1" s="68"/>
      <c r="BHA1" s="68"/>
      <c r="BHB1" s="68"/>
      <c r="BHC1" s="68"/>
      <c r="BHD1" s="68"/>
      <c r="BHE1" s="68"/>
      <c r="BHF1" s="68"/>
      <c r="BHG1" s="68"/>
      <c r="BHH1" s="68"/>
      <c r="BHI1" s="68"/>
      <c r="BHJ1" s="68"/>
      <c r="BHK1" s="68"/>
      <c r="BHL1" s="68"/>
      <c r="BHM1" s="68"/>
      <c r="BHN1" s="68"/>
      <c r="BHO1" s="68"/>
      <c r="BHP1" s="68"/>
      <c r="BHQ1" s="68"/>
      <c r="BHR1" s="68"/>
      <c r="BHS1" s="68"/>
      <c r="BHT1" s="68"/>
      <c r="BHU1" s="68"/>
      <c r="BHV1" s="68"/>
      <c r="BHW1" s="68"/>
      <c r="BHX1" s="68"/>
      <c r="BHY1" s="68"/>
      <c r="BHZ1" s="68"/>
      <c r="BIA1" s="68"/>
      <c r="BIB1" s="68"/>
      <c r="BIC1" s="68"/>
      <c r="BID1" s="68"/>
      <c r="BIE1" s="68"/>
      <c r="BIF1" s="68"/>
      <c r="BIG1" s="68"/>
      <c r="BIH1" s="68"/>
      <c r="BII1" s="68"/>
      <c r="BIJ1" s="68"/>
      <c r="BIK1" s="68"/>
      <c r="BIL1" s="68"/>
      <c r="BIM1" s="68"/>
      <c r="BIN1" s="68"/>
      <c r="BIO1" s="68"/>
      <c r="BIP1" s="68"/>
      <c r="BIQ1" s="68"/>
      <c r="BIR1" s="68"/>
      <c r="BIS1" s="68"/>
      <c r="BIT1" s="68"/>
      <c r="BIU1" s="68"/>
      <c r="BIV1" s="68"/>
      <c r="BIW1" s="68"/>
      <c r="BIX1" s="68"/>
      <c r="BIY1" s="68"/>
      <c r="BIZ1" s="68"/>
      <c r="BJA1" s="68"/>
      <c r="BJB1" s="68"/>
      <c r="BJC1" s="68"/>
      <c r="BJD1" s="68"/>
      <c r="BJE1" s="68"/>
      <c r="BJF1" s="68"/>
      <c r="BJG1" s="68"/>
      <c r="BJH1" s="68"/>
      <c r="BJI1" s="68"/>
      <c r="BJJ1" s="68"/>
      <c r="BJK1" s="68"/>
      <c r="BJL1" s="68"/>
      <c r="BJM1" s="68"/>
      <c r="BJN1" s="68"/>
      <c r="BJO1" s="68"/>
      <c r="BJP1" s="68"/>
      <c r="BJQ1" s="68"/>
      <c r="BJR1" s="68"/>
      <c r="BJS1" s="68"/>
      <c r="BJT1" s="68"/>
      <c r="BJU1" s="68"/>
      <c r="BJV1" s="68"/>
      <c r="BJW1" s="68"/>
      <c r="BJX1" s="68"/>
      <c r="BJY1" s="68"/>
      <c r="BJZ1" s="68"/>
      <c r="BKA1" s="68"/>
      <c r="BKB1" s="68"/>
      <c r="BKC1" s="68"/>
      <c r="BKD1" s="68"/>
      <c r="BKE1" s="68"/>
      <c r="BKF1" s="68"/>
      <c r="BKG1" s="68"/>
      <c r="BKH1" s="68"/>
      <c r="BKI1" s="68"/>
      <c r="BKJ1" s="68"/>
      <c r="BKK1" s="68"/>
      <c r="BKL1" s="68"/>
      <c r="BKM1" s="68"/>
      <c r="BKN1" s="68"/>
      <c r="BKO1" s="68"/>
      <c r="BKP1" s="68"/>
      <c r="BKQ1" s="68"/>
      <c r="BKR1" s="68"/>
      <c r="BKS1" s="68"/>
      <c r="BKT1" s="68"/>
      <c r="BKU1" s="68"/>
      <c r="BKV1" s="68"/>
      <c r="BKW1" s="68"/>
      <c r="BKX1" s="68"/>
      <c r="BKY1" s="68"/>
      <c r="BKZ1" s="68"/>
      <c r="BLA1" s="68"/>
      <c r="BLB1" s="68"/>
      <c r="BLC1" s="68"/>
      <c r="BLD1" s="68"/>
      <c r="BLE1" s="68"/>
      <c r="BLF1" s="68"/>
      <c r="BLG1" s="68"/>
      <c r="BLH1" s="68"/>
      <c r="BLI1" s="68"/>
      <c r="BLJ1" s="68"/>
      <c r="BLK1" s="68"/>
      <c r="BLL1" s="68"/>
      <c r="BLM1" s="68"/>
      <c r="BLN1" s="68"/>
      <c r="BLO1" s="68"/>
      <c r="BLP1" s="68"/>
      <c r="BLQ1" s="68"/>
      <c r="BLR1" s="68"/>
      <c r="BLS1" s="68"/>
      <c r="BLT1" s="68"/>
      <c r="BLU1" s="68"/>
      <c r="BLV1" s="68"/>
      <c r="BLW1" s="68"/>
      <c r="BLX1" s="68"/>
      <c r="BLY1" s="68"/>
      <c r="BLZ1" s="68"/>
      <c r="BMA1" s="68"/>
      <c r="BMB1" s="68"/>
      <c r="BMC1" s="68"/>
      <c r="BMD1" s="68"/>
      <c r="BME1" s="68"/>
      <c r="BMF1" s="68"/>
      <c r="BMG1" s="68"/>
      <c r="BMH1" s="68"/>
      <c r="BMI1" s="68"/>
      <c r="BMJ1" s="68"/>
      <c r="BMK1" s="68"/>
      <c r="BML1" s="68"/>
      <c r="BMM1" s="68"/>
      <c r="BMN1" s="68"/>
      <c r="BMO1" s="68"/>
      <c r="BMP1" s="68"/>
      <c r="BMQ1" s="68"/>
      <c r="BMR1" s="68"/>
      <c r="BMS1" s="68"/>
      <c r="BMT1" s="68"/>
      <c r="BMU1" s="68"/>
      <c r="BMV1" s="68"/>
      <c r="BMW1" s="68"/>
      <c r="BMX1" s="68"/>
      <c r="BMY1" s="68"/>
      <c r="BMZ1" s="68"/>
      <c r="BNA1" s="68"/>
      <c r="BNB1" s="68"/>
      <c r="BNC1" s="68"/>
      <c r="BND1" s="68"/>
      <c r="BNE1" s="68"/>
      <c r="BNF1" s="68"/>
      <c r="BNG1" s="68"/>
      <c r="BNH1" s="68"/>
      <c r="BNI1" s="68"/>
      <c r="BNJ1" s="68"/>
      <c r="BNK1" s="68"/>
      <c r="BNL1" s="68"/>
      <c r="BNM1" s="68"/>
      <c r="BNN1" s="68"/>
      <c r="BNO1" s="68"/>
      <c r="BNP1" s="68"/>
      <c r="BNQ1" s="68"/>
      <c r="BNR1" s="68"/>
      <c r="BNS1" s="68"/>
      <c r="BNT1" s="68"/>
      <c r="BNU1" s="68"/>
      <c r="BNV1" s="68"/>
      <c r="BNW1" s="68"/>
      <c r="BNX1" s="68"/>
      <c r="BNY1" s="68"/>
      <c r="BNZ1" s="68"/>
      <c r="BOA1" s="68"/>
      <c r="BOB1" s="68"/>
      <c r="BOC1" s="68"/>
      <c r="BOD1" s="68"/>
      <c r="BOE1" s="68"/>
      <c r="BOF1" s="68"/>
      <c r="BOG1" s="68"/>
      <c r="BOH1" s="68"/>
      <c r="BOI1" s="68"/>
      <c r="BOJ1" s="68"/>
      <c r="BOK1" s="68"/>
      <c r="BOL1" s="68"/>
      <c r="BOM1" s="68"/>
      <c r="BON1" s="68"/>
      <c r="BOO1" s="68"/>
      <c r="BOP1" s="68"/>
      <c r="BOQ1" s="68"/>
      <c r="BOR1" s="68"/>
      <c r="BOS1" s="68"/>
      <c r="BOT1" s="68"/>
      <c r="BOU1" s="68"/>
      <c r="BOV1" s="68"/>
      <c r="BOW1" s="68"/>
      <c r="BOX1" s="68"/>
      <c r="BOY1" s="68"/>
      <c r="BOZ1" s="68"/>
      <c r="BPA1" s="68"/>
      <c r="BPB1" s="68"/>
      <c r="BPC1" s="68"/>
      <c r="BPD1" s="68"/>
      <c r="BPE1" s="68"/>
      <c r="BPF1" s="68"/>
      <c r="BPG1" s="68"/>
      <c r="BPH1" s="68"/>
      <c r="BPI1" s="68"/>
      <c r="BPJ1" s="68"/>
      <c r="BPK1" s="68"/>
      <c r="BPL1" s="68"/>
      <c r="BPM1" s="68"/>
      <c r="BPN1" s="68"/>
      <c r="BPO1" s="68"/>
      <c r="BPP1" s="68"/>
      <c r="BPQ1" s="68"/>
      <c r="BPR1" s="68"/>
      <c r="BPS1" s="68"/>
      <c r="BPT1" s="68"/>
      <c r="BPU1" s="68"/>
      <c r="BPV1" s="68"/>
      <c r="BPW1" s="68"/>
      <c r="BPX1" s="68"/>
      <c r="BPY1" s="68"/>
      <c r="BPZ1" s="68"/>
      <c r="BQA1" s="68"/>
      <c r="BQB1" s="68"/>
      <c r="BQC1" s="68"/>
      <c r="BQD1" s="68"/>
      <c r="BQE1" s="68"/>
      <c r="BQF1" s="68"/>
      <c r="BQG1" s="68"/>
      <c r="BQH1" s="68"/>
      <c r="BQI1" s="68"/>
      <c r="BQJ1" s="68"/>
      <c r="BQK1" s="68"/>
      <c r="BQL1" s="68"/>
      <c r="BQM1" s="68"/>
      <c r="BQN1" s="68"/>
      <c r="BQO1" s="68"/>
      <c r="BQP1" s="68"/>
      <c r="BQQ1" s="68"/>
      <c r="BQR1" s="68"/>
      <c r="BQS1" s="68"/>
      <c r="BQT1" s="68"/>
      <c r="BQU1" s="68"/>
      <c r="BQV1" s="68"/>
      <c r="BQW1" s="68"/>
      <c r="BQX1" s="68"/>
      <c r="BQY1" s="68"/>
      <c r="BQZ1" s="68"/>
      <c r="BRA1" s="68"/>
      <c r="BRB1" s="68"/>
      <c r="BRC1" s="68"/>
      <c r="BRD1" s="68"/>
      <c r="BRE1" s="68"/>
      <c r="BRF1" s="68"/>
      <c r="BRG1" s="68"/>
      <c r="BRH1" s="68"/>
      <c r="BRI1" s="68"/>
      <c r="BRJ1" s="68"/>
      <c r="BRK1" s="68"/>
      <c r="BRL1" s="68"/>
      <c r="BRM1" s="68"/>
      <c r="BRN1" s="68"/>
      <c r="BRO1" s="68"/>
      <c r="BRP1" s="68"/>
      <c r="BRQ1" s="68"/>
      <c r="BRR1" s="68"/>
      <c r="BRS1" s="68"/>
      <c r="BRT1" s="68"/>
      <c r="BRU1" s="68"/>
      <c r="BRV1" s="68"/>
      <c r="BRW1" s="68"/>
      <c r="BRX1" s="68"/>
      <c r="BRY1" s="68"/>
      <c r="BRZ1" s="68"/>
      <c r="BSA1" s="68"/>
      <c r="BSB1" s="68"/>
      <c r="BSC1" s="68"/>
      <c r="BSD1" s="68"/>
      <c r="BSE1" s="68"/>
      <c r="BSF1" s="68"/>
      <c r="BSG1" s="68"/>
      <c r="BSH1" s="68"/>
      <c r="BSI1" s="68"/>
      <c r="BSJ1" s="68"/>
      <c r="BSK1" s="68"/>
      <c r="BSL1" s="68"/>
      <c r="BSM1" s="68"/>
      <c r="BSN1" s="68"/>
      <c r="BSO1" s="68"/>
      <c r="BSP1" s="68"/>
      <c r="BSQ1" s="68"/>
      <c r="BSR1" s="68"/>
      <c r="BSS1" s="68"/>
      <c r="BST1" s="68"/>
      <c r="BSU1" s="68"/>
      <c r="BSV1" s="68"/>
      <c r="BSW1" s="68"/>
      <c r="BSX1" s="68"/>
      <c r="BSY1" s="68"/>
      <c r="BSZ1" s="68"/>
      <c r="BTA1" s="68"/>
      <c r="BTB1" s="68"/>
      <c r="BTC1" s="68"/>
      <c r="BTD1" s="68"/>
      <c r="BTE1" s="68"/>
      <c r="BTF1" s="68"/>
      <c r="BTG1" s="68"/>
      <c r="BTH1" s="68"/>
      <c r="BTI1" s="68"/>
      <c r="BTJ1" s="68"/>
      <c r="BTK1" s="68"/>
      <c r="BTL1" s="68"/>
      <c r="BTM1" s="68"/>
      <c r="BTN1" s="68"/>
      <c r="BTO1" s="68"/>
      <c r="BTP1" s="68"/>
      <c r="BTQ1" s="68"/>
      <c r="BTR1" s="68"/>
      <c r="BTS1" s="68"/>
      <c r="BTT1" s="68"/>
      <c r="BTU1" s="68"/>
      <c r="BTV1" s="68"/>
      <c r="BTW1" s="68"/>
      <c r="BTX1" s="68"/>
      <c r="BTY1" s="68"/>
      <c r="BTZ1" s="68"/>
      <c r="BUA1" s="68"/>
      <c r="BUB1" s="68"/>
      <c r="BUC1" s="68"/>
      <c r="BUD1" s="68"/>
      <c r="BUE1" s="68"/>
      <c r="BUF1" s="68"/>
      <c r="BUG1" s="68"/>
      <c r="BUH1" s="68"/>
      <c r="BUI1" s="68"/>
      <c r="BUJ1" s="68"/>
      <c r="BUK1" s="68"/>
      <c r="BUL1" s="68"/>
      <c r="BUM1" s="68"/>
      <c r="BUN1" s="68"/>
      <c r="BUO1" s="68"/>
      <c r="BUP1" s="68"/>
      <c r="BUQ1" s="68"/>
      <c r="BUR1" s="68"/>
      <c r="BUS1" s="68"/>
      <c r="BUT1" s="68"/>
      <c r="BUU1" s="68"/>
      <c r="BUV1" s="68"/>
      <c r="BUW1" s="68"/>
      <c r="BUX1" s="68"/>
      <c r="BUY1" s="68"/>
      <c r="BUZ1" s="68"/>
      <c r="BVA1" s="68"/>
      <c r="BVB1" s="68"/>
      <c r="BVC1" s="68"/>
      <c r="BVD1" s="68"/>
      <c r="BVE1" s="68"/>
      <c r="BVF1" s="68"/>
      <c r="BVG1" s="68"/>
      <c r="BVH1" s="68"/>
      <c r="BVI1" s="68"/>
      <c r="BVJ1" s="68"/>
      <c r="BVK1" s="68"/>
      <c r="BVL1" s="68"/>
      <c r="BVM1" s="68"/>
      <c r="BVN1" s="68"/>
      <c r="BVO1" s="68"/>
      <c r="BVP1" s="68"/>
      <c r="BVQ1" s="68"/>
      <c r="BVR1" s="68"/>
      <c r="BVS1" s="68"/>
      <c r="BVT1" s="68"/>
      <c r="BVU1" s="68"/>
      <c r="BVV1" s="68"/>
      <c r="BVW1" s="68"/>
      <c r="BVX1" s="68"/>
      <c r="BVY1" s="68"/>
      <c r="BVZ1" s="68"/>
      <c r="BWA1" s="68"/>
      <c r="BWB1" s="68"/>
      <c r="BWC1" s="68"/>
      <c r="BWD1" s="68"/>
      <c r="BWE1" s="68"/>
      <c r="BWF1" s="68"/>
      <c r="BWG1" s="68"/>
      <c r="BWH1" s="68"/>
      <c r="BWI1" s="68"/>
      <c r="BWJ1" s="68"/>
      <c r="BWK1" s="68"/>
      <c r="BWL1" s="68"/>
      <c r="BWM1" s="68"/>
      <c r="BWN1" s="68"/>
      <c r="BWO1" s="68"/>
      <c r="BWP1" s="68"/>
      <c r="BWQ1" s="68"/>
      <c r="BWR1" s="68"/>
      <c r="BWS1" s="68"/>
      <c r="BWT1" s="68"/>
      <c r="BWU1" s="68"/>
      <c r="BWV1" s="68"/>
      <c r="BWW1" s="68"/>
      <c r="BWX1" s="68"/>
      <c r="BWY1" s="68"/>
      <c r="BWZ1" s="68"/>
      <c r="BXA1" s="68"/>
      <c r="BXB1" s="68"/>
      <c r="BXC1" s="68"/>
      <c r="BXD1" s="68"/>
      <c r="BXE1" s="68"/>
      <c r="BXF1" s="68"/>
      <c r="BXG1" s="68"/>
      <c r="BXH1" s="68"/>
      <c r="BXI1" s="68"/>
      <c r="BXJ1" s="68"/>
      <c r="BXK1" s="68"/>
      <c r="BXL1" s="68"/>
      <c r="BXM1" s="68"/>
      <c r="BXN1" s="68"/>
      <c r="BXO1" s="68"/>
      <c r="BXP1" s="68"/>
      <c r="BXQ1" s="68"/>
      <c r="BXR1" s="68"/>
      <c r="BXS1" s="68"/>
      <c r="BXT1" s="68"/>
      <c r="BXU1" s="68"/>
      <c r="BXV1" s="68"/>
      <c r="BXW1" s="68"/>
      <c r="BXX1" s="68"/>
      <c r="BXY1" s="68"/>
      <c r="BXZ1" s="68"/>
      <c r="BYA1" s="68"/>
      <c r="BYB1" s="68"/>
      <c r="BYC1" s="68"/>
      <c r="BYD1" s="68"/>
      <c r="BYE1" s="68"/>
      <c r="BYF1" s="68"/>
      <c r="BYG1" s="68"/>
      <c r="BYH1" s="68"/>
      <c r="BYI1" s="68"/>
      <c r="BYJ1" s="68"/>
      <c r="BYK1" s="68"/>
      <c r="BYL1" s="68"/>
      <c r="BYM1" s="68"/>
      <c r="BYN1" s="68"/>
      <c r="BYO1" s="68"/>
      <c r="BYP1" s="68"/>
      <c r="BYQ1" s="68"/>
      <c r="BYR1" s="68"/>
      <c r="BYS1" s="68"/>
      <c r="BYT1" s="68"/>
      <c r="BYU1" s="68"/>
      <c r="BYV1" s="68"/>
      <c r="BYW1" s="68"/>
      <c r="BYX1" s="68"/>
      <c r="BYY1" s="68"/>
      <c r="BYZ1" s="68"/>
      <c r="BZA1" s="68"/>
      <c r="BZB1" s="68"/>
      <c r="BZC1" s="68"/>
      <c r="BZD1" s="68"/>
      <c r="BZE1" s="68"/>
      <c r="BZF1" s="68"/>
      <c r="BZG1" s="68"/>
      <c r="BZH1" s="68"/>
      <c r="BZI1" s="68"/>
      <c r="BZJ1" s="68"/>
      <c r="BZK1" s="68"/>
      <c r="BZL1" s="68"/>
      <c r="BZM1" s="68"/>
      <c r="BZN1" s="68"/>
      <c r="BZO1" s="68"/>
      <c r="BZP1" s="68"/>
      <c r="BZQ1" s="68"/>
      <c r="BZR1" s="68"/>
      <c r="BZS1" s="68"/>
      <c r="BZT1" s="68"/>
      <c r="BZU1" s="68"/>
      <c r="BZV1" s="68"/>
      <c r="BZW1" s="68"/>
      <c r="BZX1" s="68"/>
      <c r="BZY1" s="68"/>
      <c r="BZZ1" s="68"/>
      <c r="CAA1" s="68"/>
      <c r="CAB1" s="68"/>
      <c r="CAC1" s="68"/>
      <c r="CAD1" s="68"/>
      <c r="CAE1" s="68"/>
      <c r="CAF1" s="68"/>
      <c r="CAG1" s="68"/>
      <c r="CAH1" s="68"/>
      <c r="CAI1" s="68"/>
      <c r="CAJ1" s="68"/>
      <c r="CAK1" s="68"/>
      <c r="CAL1" s="68"/>
      <c r="CAM1" s="68"/>
      <c r="CAN1" s="68"/>
      <c r="CAO1" s="68"/>
      <c r="CAP1" s="68"/>
      <c r="CAQ1" s="68"/>
      <c r="CAR1" s="68"/>
      <c r="CAS1" s="68"/>
      <c r="CAT1" s="68"/>
      <c r="CAU1" s="68"/>
      <c r="CAV1" s="68"/>
      <c r="CAW1" s="68"/>
      <c r="CAX1" s="68"/>
      <c r="CAY1" s="68"/>
      <c r="CAZ1" s="68"/>
      <c r="CBA1" s="68"/>
      <c r="CBB1" s="68"/>
      <c r="CBC1" s="68"/>
      <c r="CBD1" s="68"/>
      <c r="CBE1" s="68"/>
      <c r="CBF1" s="68"/>
      <c r="CBG1" s="68"/>
      <c r="CBH1" s="68"/>
      <c r="CBI1" s="68"/>
      <c r="CBJ1" s="68"/>
      <c r="CBK1" s="68"/>
      <c r="CBL1" s="68"/>
      <c r="CBM1" s="68"/>
      <c r="CBN1" s="68"/>
      <c r="CBO1" s="68"/>
      <c r="CBP1" s="68"/>
      <c r="CBQ1" s="68"/>
      <c r="CBR1" s="68"/>
      <c r="CBS1" s="68"/>
      <c r="CBT1" s="68"/>
      <c r="CBU1" s="68"/>
      <c r="CBV1" s="68"/>
      <c r="CBW1" s="68"/>
      <c r="CBX1" s="68"/>
      <c r="CBY1" s="68"/>
      <c r="CBZ1" s="68"/>
      <c r="CCA1" s="68"/>
      <c r="CCB1" s="68"/>
      <c r="CCC1" s="68"/>
      <c r="CCD1" s="68"/>
      <c r="CCE1" s="68"/>
      <c r="CCF1" s="68"/>
      <c r="CCG1" s="68"/>
      <c r="CCH1" s="68"/>
      <c r="CCI1" s="68"/>
      <c r="CCJ1" s="68"/>
      <c r="CCK1" s="68"/>
      <c r="CCL1" s="68"/>
      <c r="CCM1" s="68"/>
      <c r="CCN1" s="68"/>
      <c r="CCO1" s="68"/>
      <c r="CCP1" s="68"/>
      <c r="CCQ1" s="68"/>
      <c r="CCR1" s="68"/>
      <c r="CCS1" s="68"/>
      <c r="CCT1" s="68"/>
      <c r="CCU1" s="68"/>
      <c r="CCV1" s="68"/>
      <c r="CCW1" s="68"/>
      <c r="CCX1" s="68"/>
      <c r="CCY1" s="68"/>
      <c r="CCZ1" s="68"/>
      <c r="CDA1" s="68"/>
      <c r="CDB1" s="68"/>
      <c r="CDC1" s="68"/>
      <c r="CDD1" s="68"/>
      <c r="CDE1" s="68"/>
      <c r="CDF1" s="68"/>
      <c r="CDG1" s="68"/>
      <c r="CDH1" s="68"/>
      <c r="CDI1" s="68"/>
      <c r="CDJ1" s="68"/>
      <c r="CDK1" s="68"/>
      <c r="CDL1" s="68"/>
      <c r="CDM1" s="68"/>
      <c r="CDN1" s="68"/>
      <c r="CDO1" s="68"/>
      <c r="CDP1" s="68"/>
      <c r="CDQ1" s="68"/>
      <c r="CDR1" s="68"/>
      <c r="CDS1" s="68"/>
      <c r="CDT1" s="68"/>
      <c r="CDU1" s="68"/>
      <c r="CDV1" s="68"/>
      <c r="CDW1" s="68"/>
      <c r="CDX1" s="68"/>
      <c r="CDY1" s="68"/>
      <c r="CDZ1" s="68"/>
      <c r="CEA1" s="68"/>
      <c r="CEB1" s="68"/>
      <c r="CEC1" s="68"/>
      <c r="CED1" s="68"/>
      <c r="CEE1" s="68"/>
      <c r="CEF1" s="68"/>
      <c r="CEG1" s="68"/>
      <c r="CEH1" s="68"/>
      <c r="CEI1" s="68"/>
      <c r="CEJ1" s="68"/>
      <c r="CEK1" s="68"/>
      <c r="CEL1" s="68"/>
      <c r="CEM1" s="68"/>
      <c r="CEN1" s="68"/>
      <c r="CEO1" s="68"/>
      <c r="CEP1" s="68"/>
      <c r="CEQ1" s="68"/>
      <c r="CER1" s="68"/>
      <c r="CES1" s="68"/>
      <c r="CET1" s="68"/>
      <c r="CEU1" s="68"/>
      <c r="CEV1" s="68"/>
      <c r="CEW1" s="68"/>
      <c r="CEX1" s="68"/>
      <c r="CEY1" s="68"/>
      <c r="CEZ1" s="68"/>
      <c r="CFA1" s="68"/>
      <c r="CFB1" s="68"/>
      <c r="CFC1" s="68"/>
      <c r="CFD1" s="68"/>
      <c r="CFE1" s="68"/>
      <c r="CFF1" s="68"/>
      <c r="CFG1" s="68"/>
      <c r="CFH1" s="68"/>
      <c r="CFI1" s="68"/>
      <c r="CFJ1" s="68"/>
      <c r="CFK1" s="68"/>
      <c r="CFL1" s="68"/>
      <c r="CFM1" s="68"/>
      <c r="CFN1" s="68"/>
      <c r="CFO1" s="68"/>
      <c r="CFP1" s="68"/>
      <c r="CFQ1" s="68"/>
      <c r="CFR1" s="68"/>
      <c r="CFS1" s="68"/>
      <c r="CFT1" s="68"/>
      <c r="CFU1" s="68"/>
      <c r="CFV1" s="68"/>
      <c r="CFW1" s="68"/>
      <c r="CFX1" s="68"/>
      <c r="CFY1" s="68"/>
      <c r="CFZ1" s="68"/>
      <c r="CGA1" s="68"/>
      <c r="CGB1" s="68"/>
      <c r="CGC1" s="68"/>
      <c r="CGD1" s="68"/>
      <c r="CGE1" s="68"/>
      <c r="CGF1" s="68"/>
      <c r="CGG1" s="68"/>
      <c r="CGH1" s="68"/>
      <c r="CGI1" s="68"/>
      <c r="CGJ1" s="68"/>
      <c r="CGK1" s="68"/>
      <c r="CGL1" s="68"/>
      <c r="CGM1" s="68"/>
      <c r="CGN1" s="68"/>
      <c r="CGO1" s="68"/>
      <c r="CGP1" s="68"/>
      <c r="CGQ1" s="68"/>
      <c r="CGR1" s="68"/>
      <c r="CGS1" s="68"/>
      <c r="CGT1" s="68"/>
      <c r="CGU1" s="68"/>
      <c r="CGV1" s="68"/>
      <c r="CGW1" s="68"/>
      <c r="CGX1" s="68"/>
      <c r="CGY1" s="68"/>
      <c r="CGZ1" s="68"/>
      <c r="CHA1" s="68"/>
      <c r="CHB1" s="68"/>
      <c r="CHC1" s="68"/>
      <c r="CHD1" s="68"/>
      <c r="CHE1" s="68"/>
      <c r="CHF1" s="68"/>
      <c r="CHG1" s="68"/>
      <c r="CHH1" s="68"/>
      <c r="CHI1" s="68"/>
      <c r="CHJ1" s="68"/>
      <c r="CHK1" s="68"/>
      <c r="CHL1" s="68"/>
      <c r="CHM1" s="68"/>
      <c r="CHN1" s="68"/>
      <c r="CHO1" s="68"/>
      <c r="CHP1" s="68"/>
      <c r="CHQ1" s="68"/>
      <c r="CHR1" s="68"/>
      <c r="CHS1" s="68"/>
      <c r="CHT1" s="68"/>
      <c r="CHU1" s="68"/>
      <c r="CHV1" s="68"/>
      <c r="CHW1" s="68"/>
      <c r="CHX1" s="68"/>
      <c r="CHY1" s="68"/>
      <c r="CHZ1" s="68"/>
      <c r="CIA1" s="68"/>
      <c r="CIB1" s="68"/>
      <c r="CIC1" s="68"/>
      <c r="CID1" s="68"/>
      <c r="CIE1" s="68"/>
      <c r="CIF1" s="68"/>
      <c r="CIG1" s="68"/>
      <c r="CIH1" s="68"/>
      <c r="CII1" s="68"/>
      <c r="CIJ1" s="68"/>
      <c r="CIK1" s="68"/>
      <c r="CIL1" s="68"/>
      <c r="CIM1" s="68"/>
      <c r="CIN1" s="68"/>
      <c r="CIO1" s="68"/>
      <c r="CIP1" s="68"/>
      <c r="CIQ1" s="68"/>
      <c r="CIR1" s="68"/>
      <c r="CIS1" s="68"/>
      <c r="CIT1" s="68"/>
      <c r="CIU1" s="68"/>
      <c r="CIV1" s="68"/>
      <c r="CIW1" s="68"/>
      <c r="CIX1" s="68"/>
      <c r="CIY1" s="68"/>
      <c r="CIZ1" s="68"/>
      <c r="CJA1" s="68"/>
      <c r="CJB1" s="68"/>
      <c r="CJC1" s="68"/>
      <c r="CJD1" s="68"/>
      <c r="CJE1" s="68"/>
      <c r="CJF1" s="68"/>
      <c r="CJG1" s="68"/>
      <c r="CJH1" s="68"/>
      <c r="CJI1" s="68"/>
      <c r="CJJ1" s="68"/>
      <c r="CJK1" s="68"/>
      <c r="CJL1" s="68"/>
      <c r="CJM1" s="68"/>
      <c r="CJN1" s="68"/>
      <c r="CJO1" s="68"/>
      <c r="CJP1" s="68"/>
      <c r="CJQ1" s="68"/>
      <c r="CJR1" s="68"/>
      <c r="CJS1" s="68"/>
      <c r="CJT1" s="68"/>
      <c r="CJU1" s="68"/>
      <c r="CJV1" s="68"/>
      <c r="CJW1" s="68"/>
      <c r="CJX1" s="68"/>
      <c r="CJY1" s="68"/>
      <c r="CJZ1" s="68"/>
      <c r="CKA1" s="68"/>
      <c r="CKB1" s="68"/>
      <c r="CKC1" s="68"/>
      <c r="CKD1" s="68"/>
      <c r="CKE1" s="68"/>
      <c r="CKF1" s="68"/>
      <c r="CKG1" s="68"/>
      <c r="CKH1" s="68"/>
      <c r="CKI1" s="68"/>
      <c r="CKJ1" s="68"/>
      <c r="CKK1" s="68"/>
      <c r="CKL1" s="68"/>
      <c r="CKM1" s="68"/>
      <c r="CKN1" s="68"/>
      <c r="CKO1" s="68"/>
      <c r="CKP1" s="68"/>
      <c r="CKQ1" s="68"/>
      <c r="CKR1" s="68"/>
      <c r="CKS1" s="68"/>
      <c r="CKT1" s="68"/>
      <c r="CKU1" s="68"/>
      <c r="CKV1" s="68"/>
      <c r="CKW1" s="68"/>
      <c r="CKX1" s="68"/>
      <c r="CKY1" s="68"/>
      <c r="CKZ1" s="68"/>
      <c r="CLA1" s="68"/>
      <c r="CLB1" s="68"/>
      <c r="CLC1" s="68"/>
      <c r="CLD1" s="68"/>
      <c r="CLE1" s="68"/>
      <c r="CLF1" s="68"/>
      <c r="CLG1" s="68"/>
      <c r="CLH1" s="68"/>
      <c r="CLI1" s="68"/>
      <c r="CLJ1" s="68"/>
      <c r="CLK1" s="68"/>
      <c r="CLL1" s="68"/>
      <c r="CLM1" s="68"/>
      <c r="CLN1" s="68"/>
      <c r="CLO1" s="68"/>
      <c r="CLP1" s="68"/>
      <c r="CLQ1" s="68"/>
      <c r="CLR1" s="68"/>
      <c r="CLS1" s="68"/>
      <c r="CLT1" s="68"/>
      <c r="CLU1" s="68"/>
      <c r="CLV1" s="68"/>
      <c r="CLW1" s="68"/>
      <c r="CLX1" s="68"/>
      <c r="CLY1" s="68"/>
      <c r="CLZ1" s="68"/>
      <c r="CMA1" s="68"/>
      <c r="CMB1" s="68"/>
      <c r="CMC1" s="68"/>
      <c r="CMD1" s="68"/>
      <c r="CME1" s="68"/>
      <c r="CMF1" s="68"/>
      <c r="CMG1" s="68"/>
      <c r="CMH1" s="68"/>
      <c r="CMI1" s="68"/>
      <c r="CMJ1" s="68"/>
      <c r="CMK1" s="68"/>
      <c r="CML1" s="68"/>
      <c r="CMM1" s="68"/>
      <c r="CMN1" s="68"/>
      <c r="CMO1" s="68"/>
      <c r="CMP1" s="68"/>
      <c r="CMQ1" s="68"/>
      <c r="CMR1" s="68"/>
      <c r="CMS1" s="68"/>
      <c r="CMT1" s="68"/>
      <c r="CMU1" s="68"/>
      <c r="CMV1" s="68"/>
      <c r="CMW1" s="68"/>
      <c r="CMX1" s="68"/>
      <c r="CMY1" s="68"/>
      <c r="CMZ1" s="68"/>
      <c r="CNA1" s="68"/>
      <c r="CNB1" s="68"/>
      <c r="CNC1" s="68"/>
      <c r="CND1" s="68"/>
      <c r="CNE1" s="68"/>
      <c r="CNF1" s="68"/>
      <c r="CNG1" s="68"/>
      <c r="CNH1" s="68"/>
      <c r="CNI1" s="68"/>
      <c r="CNJ1" s="68"/>
      <c r="CNK1" s="68"/>
      <c r="CNL1" s="68"/>
      <c r="CNM1" s="68"/>
      <c r="CNN1" s="68"/>
      <c r="CNO1" s="68"/>
      <c r="CNP1" s="68"/>
      <c r="CNQ1" s="68"/>
      <c r="CNR1" s="68"/>
      <c r="CNS1" s="68"/>
      <c r="CNT1" s="68"/>
      <c r="CNU1" s="68"/>
      <c r="CNV1" s="68"/>
      <c r="CNW1" s="68"/>
      <c r="CNX1" s="68"/>
      <c r="CNY1" s="68"/>
      <c r="CNZ1" s="68"/>
      <c r="COA1" s="68"/>
      <c r="COB1" s="68"/>
      <c r="COC1" s="68"/>
      <c r="COD1" s="68"/>
      <c r="COE1" s="68"/>
      <c r="COF1" s="68"/>
      <c r="COG1" s="68"/>
      <c r="COH1" s="68"/>
      <c r="COI1" s="68"/>
      <c r="COJ1" s="68"/>
      <c r="COK1" s="68"/>
      <c r="COL1" s="68"/>
      <c r="COM1" s="68"/>
      <c r="CON1" s="68"/>
      <c r="COO1" s="68"/>
      <c r="COP1" s="68"/>
      <c r="COQ1" s="68"/>
      <c r="COR1" s="68"/>
      <c r="COS1" s="68"/>
      <c r="COT1" s="68"/>
      <c r="COU1" s="68"/>
      <c r="COV1" s="68"/>
      <c r="COW1" s="68"/>
      <c r="COX1" s="68"/>
      <c r="COY1" s="68"/>
      <c r="COZ1" s="68"/>
      <c r="CPA1" s="68"/>
      <c r="CPB1" s="68"/>
      <c r="CPC1" s="68"/>
      <c r="CPD1" s="68"/>
      <c r="CPE1" s="68"/>
      <c r="CPF1" s="68"/>
      <c r="CPG1" s="68"/>
      <c r="CPH1" s="68"/>
      <c r="CPI1" s="68"/>
      <c r="CPJ1" s="68"/>
      <c r="CPK1" s="68"/>
      <c r="CPL1" s="68"/>
      <c r="CPM1" s="68"/>
      <c r="CPN1" s="68"/>
      <c r="CPO1" s="68"/>
      <c r="CPP1" s="68"/>
      <c r="CPQ1" s="68"/>
      <c r="CPR1" s="68"/>
      <c r="CPS1" s="68"/>
      <c r="CPT1" s="68"/>
      <c r="CPU1" s="68"/>
      <c r="CPV1" s="68"/>
      <c r="CPW1" s="68"/>
      <c r="CPX1" s="68"/>
      <c r="CPY1" s="68"/>
      <c r="CPZ1" s="68"/>
      <c r="CQA1" s="68"/>
      <c r="CQB1" s="68"/>
      <c r="CQC1" s="68"/>
      <c r="CQD1" s="68"/>
      <c r="CQE1" s="68"/>
      <c r="CQF1" s="68"/>
      <c r="CQG1" s="68"/>
      <c r="CQH1" s="68"/>
      <c r="CQI1" s="68"/>
      <c r="CQJ1" s="68"/>
      <c r="CQK1" s="68"/>
      <c r="CQL1" s="68"/>
      <c r="CQM1" s="68"/>
      <c r="CQN1" s="68"/>
      <c r="CQO1" s="68"/>
      <c r="CQP1" s="68"/>
      <c r="CQQ1" s="68"/>
      <c r="CQR1" s="68"/>
      <c r="CQS1" s="68"/>
      <c r="CQT1" s="68"/>
      <c r="CQU1" s="68"/>
      <c r="CQV1" s="68"/>
      <c r="CQW1" s="68"/>
      <c r="CQX1" s="68"/>
      <c r="CQY1" s="68"/>
      <c r="CQZ1" s="68"/>
      <c r="CRA1" s="68"/>
      <c r="CRB1" s="68"/>
      <c r="CRC1" s="68"/>
      <c r="CRD1" s="68"/>
      <c r="CRE1" s="68"/>
      <c r="CRF1" s="68"/>
      <c r="CRG1" s="68"/>
      <c r="CRH1" s="68"/>
      <c r="CRI1" s="68"/>
      <c r="CRJ1" s="68"/>
      <c r="CRK1" s="68"/>
      <c r="CRL1" s="68"/>
      <c r="CRM1" s="68"/>
      <c r="CRN1" s="68"/>
      <c r="CRO1" s="68"/>
      <c r="CRP1" s="68"/>
      <c r="CRQ1" s="68"/>
      <c r="CRR1" s="68"/>
      <c r="CRS1" s="68"/>
      <c r="CRT1" s="68"/>
      <c r="CRU1" s="68"/>
      <c r="CRV1" s="68"/>
      <c r="CRW1" s="68"/>
      <c r="CRX1" s="68"/>
      <c r="CRY1" s="68"/>
      <c r="CRZ1" s="68"/>
      <c r="CSA1" s="68"/>
      <c r="CSB1" s="68"/>
      <c r="CSC1" s="68"/>
      <c r="CSD1" s="68"/>
      <c r="CSE1" s="68"/>
      <c r="CSF1" s="68"/>
      <c r="CSG1" s="68"/>
      <c r="CSH1" s="68"/>
      <c r="CSI1" s="68"/>
      <c r="CSJ1" s="68"/>
      <c r="CSK1" s="68"/>
      <c r="CSL1" s="68"/>
      <c r="CSM1" s="68"/>
      <c r="CSN1" s="68"/>
      <c r="CSO1" s="68"/>
      <c r="CSP1" s="68"/>
      <c r="CSQ1" s="68"/>
      <c r="CSR1" s="68"/>
      <c r="CSS1" s="68"/>
      <c r="CST1" s="68"/>
      <c r="CSU1" s="68"/>
      <c r="CSV1" s="68"/>
      <c r="CSW1" s="68"/>
      <c r="CSX1" s="68"/>
      <c r="CSY1" s="68"/>
      <c r="CSZ1" s="68"/>
      <c r="CTA1" s="68"/>
      <c r="CTB1" s="68"/>
      <c r="CTC1" s="68"/>
      <c r="CTD1" s="68"/>
      <c r="CTE1" s="68"/>
      <c r="CTF1" s="68"/>
      <c r="CTG1" s="68"/>
      <c r="CTH1" s="68"/>
      <c r="CTI1" s="68"/>
      <c r="CTJ1" s="68"/>
      <c r="CTK1" s="68"/>
      <c r="CTL1" s="68"/>
      <c r="CTM1" s="68"/>
      <c r="CTN1" s="68"/>
      <c r="CTO1" s="68"/>
      <c r="CTP1" s="68"/>
      <c r="CTQ1" s="68"/>
      <c r="CTR1" s="68"/>
      <c r="CTS1" s="68"/>
      <c r="CTT1" s="68"/>
      <c r="CTU1" s="68"/>
      <c r="CTV1" s="68"/>
      <c r="CTW1" s="68"/>
      <c r="CTX1" s="68"/>
      <c r="CTY1" s="68"/>
      <c r="CTZ1" s="68"/>
      <c r="CUA1" s="68"/>
      <c r="CUB1" s="68"/>
      <c r="CUC1" s="68"/>
      <c r="CUD1" s="68"/>
      <c r="CUE1" s="68"/>
      <c r="CUF1" s="68"/>
      <c r="CUG1" s="68"/>
      <c r="CUH1" s="68"/>
      <c r="CUI1" s="68"/>
      <c r="CUJ1" s="68"/>
      <c r="CUK1" s="68"/>
      <c r="CUL1" s="68"/>
      <c r="CUM1" s="68"/>
      <c r="CUN1" s="68"/>
      <c r="CUO1" s="68"/>
      <c r="CUP1" s="68"/>
      <c r="CUQ1" s="68"/>
      <c r="CUR1" s="68"/>
      <c r="CUS1" s="68"/>
      <c r="CUT1" s="68"/>
      <c r="CUU1" s="68"/>
      <c r="CUV1" s="68"/>
      <c r="CUW1" s="68"/>
      <c r="CUX1" s="68"/>
      <c r="CUY1" s="68"/>
      <c r="CUZ1" s="68"/>
      <c r="CVA1" s="68"/>
      <c r="CVB1" s="68"/>
      <c r="CVC1" s="68"/>
      <c r="CVD1" s="68"/>
      <c r="CVE1" s="68"/>
      <c r="CVF1" s="68"/>
      <c r="CVG1" s="68"/>
      <c r="CVH1" s="68"/>
      <c r="CVI1" s="68"/>
      <c r="CVJ1" s="68"/>
      <c r="CVK1" s="68"/>
      <c r="CVL1" s="68"/>
      <c r="CVM1" s="68"/>
      <c r="CVN1" s="68"/>
      <c r="CVO1" s="68"/>
      <c r="CVP1" s="68"/>
      <c r="CVQ1" s="68"/>
      <c r="CVR1" s="68"/>
      <c r="CVS1" s="68"/>
      <c r="CVT1" s="68"/>
      <c r="CVU1" s="68"/>
      <c r="CVV1" s="68"/>
      <c r="CVW1" s="68"/>
      <c r="CVX1" s="68"/>
      <c r="CVY1" s="68"/>
      <c r="CVZ1" s="68"/>
      <c r="CWA1" s="68"/>
      <c r="CWB1" s="68"/>
      <c r="CWC1" s="68"/>
      <c r="CWD1" s="68"/>
      <c r="CWE1" s="68"/>
      <c r="CWF1" s="68"/>
      <c r="CWG1" s="68"/>
      <c r="CWH1" s="68"/>
      <c r="CWI1" s="68"/>
      <c r="CWJ1" s="68"/>
      <c r="CWK1" s="68"/>
      <c r="CWL1" s="68"/>
      <c r="CWM1" s="68"/>
      <c r="CWN1" s="68"/>
      <c r="CWO1" s="68"/>
      <c r="CWP1" s="68"/>
      <c r="CWQ1" s="68"/>
      <c r="CWR1" s="68"/>
      <c r="CWS1" s="68"/>
      <c r="CWT1" s="68"/>
      <c r="CWU1" s="68"/>
      <c r="CWV1" s="68"/>
      <c r="CWW1" s="68"/>
      <c r="CWX1" s="68"/>
      <c r="CWY1" s="68"/>
      <c r="CWZ1" s="68"/>
      <c r="CXA1" s="68"/>
      <c r="CXB1" s="68"/>
      <c r="CXC1" s="68"/>
      <c r="CXD1" s="68"/>
      <c r="CXE1" s="68"/>
      <c r="CXF1" s="68"/>
      <c r="CXG1" s="68"/>
      <c r="CXH1" s="68"/>
      <c r="CXI1" s="68"/>
      <c r="CXJ1" s="68"/>
      <c r="CXK1" s="68"/>
      <c r="CXL1" s="68"/>
      <c r="CXM1" s="68"/>
      <c r="CXN1" s="68"/>
      <c r="CXO1" s="68"/>
      <c r="CXP1" s="68"/>
      <c r="CXQ1" s="68"/>
      <c r="CXR1" s="68"/>
      <c r="CXS1" s="68"/>
      <c r="CXT1" s="68"/>
      <c r="CXU1" s="68"/>
      <c r="CXV1" s="68"/>
      <c r="CXW1" s="68"/>
      <c r="CXX1" s="68"/>
      <c r="CXY1" s="68"/>
      <c r="CXZ1" s="68"/>
      <c r="CYA1" s="68"/>
      <c r="CYB1" s="68"/>
      <c r="CYC1" s="68"/>
      <c r="CYD1" s="68"/>
      <c r="CYE1" s="68"/>
      <c r="CYF1" s="68"/>
      <c r="CYG1" s="68"/>
      <c r="CYH1" s="68"/>
      <c r="CYI1" s="68"/>
      <c r="CYJ1" s="68"/>
      <c r="CYK1" s="68"/>
      <c r="CYL1" s="68"/>
      <c r="CYM1" s="68"/>
      <c r="CYN1" s="68"/>
      <c r="CYO1" s="68"/>
      <c r="CYP1" s="68"/>
      <c r="CYQ1" s="68"/>
      <c r="CYR1" s="68"/>
      <c r="CYS1" s="68"/>
      <c r="CYT1" s="68"/>
      <c r="CYU1" s="68"/>
      <c r="CYV1" s="68"/>
      <c r="CYW1" s="68"/>
      <c r="CYX1" s="68"/>
      <c r="CYY1" s="68"/>
      <c r="CYZ1" s="68"/>
      <c r="CZA1" s="68"/>
      <c r="CZB1" s="68"/>
      <c r="CZC1" s="68"/>
      <c r="CZD1" s="68"/>
      <c r="CZE1" s="68"/>
      <c r="CZF1" s="68"/>
      <c r="CZG1" s="68"/>
      <c r="CZH1" s="68"/>
      <c r="CZI1" s="68"/>
      <c r="CZJ1" s="68"/>
      <c r="CZK1" s="68"/>
      <c r="CZL1" s="68"/>
      <c r="CZM1" s="68"/>
      <c r="CZN1" s="68"/>
      <c r="CZO1" s="68"/>
      <c r="CZP1" s="68"/>
      <c r="CZQ1" s="68"/>
      <c r="CZR1" s="68"/>
      <c r="CZS1" s="68"/>
      <c r="CZT1" s="68"/>
      <c r="CZU1" s="68"/>
      <c r="CZV1" s="68"/>
      <c r="CZW1" s="68"/>
      <c r="CZX1" s="68"/>
      <c r="CZY1" s="68"/>
      <c r="CZZ1" s="68"/>
      <c r="DAA1" s="68"/>
      <c r="DAB1" s="68"/>
      <c r="DAC1" s="68"/>
      <c r="DAD1" s="68"/>
      <c r="DAE1" s="68"/>
      <c r="DAF1" s="68"/>
      <c r="DAG1" s="68"/>
      <c r="DAH1" s="68"/>
      <c r="DAI1" s="68"/>
      <c r="DAJ1" s="68"/>
      <c r="DAK1" s="68"/>
      <c r="DAL1" s="68"/>
      <c r="DAM1" s="68"/>
      <c r="DAN1" s="68"/>
      <c r="DAO1" s="68"/>
      <c r="DAP1" s="68"/>
      <c r="DAQ1" s="68"/>
      <c r="DAR1" s="68"/>
      <c r="DAS1" s="68"/>
      <c r="DAT1" s="68"/>
      <c r="DAU1" s="68"/>
      <c r="DAV1" s="68"/>
      <c r="DAW1" s="68"/>
      <c r="DAX1" s="68"/>
      <c r="DAY1" s="68"/>
      <c r="DAZ1" s="68"/>
      <c r="DBA1" s="68"/>
      <c r="DBB1" s="68"/>
      <c r="DBC1" s="68"/>
      <c r="DBD1" s="68"/>
      <c r="DBE1" s="68"/>
      <c r="DBF1" s="68"/>
      <c r="DBG1" s="68"/>
      <c r="DBH1" s="68"/>
      <c r="DBI1" s="68"/>
      <c r="DBJ1" s="68"/>
      <c r="DBK1" s="68"/>
      <c r="DBL1" s="68"/>
      <c r="DBM1" s="68"/>
      <c r="DBN1" s="68"/>
      <c r="DBO1" s="68"/>
      <c r="DBP1" s="68"/>
      <c r="DBQ1" s="68"/>
      <c r="DBR1" s="68"/>
      <c r="DBS1" s="68"/>
      <c r="DBT1" s="68"/>
      <c r="DBU1" s="68"/>
      <c r="DBV1" s="68"/>
      <c r="DBW1" s="68"/>
      <c r="DBX1" s="68"/>
      <c r="DBY1" s="68"/>
      <c r="DBZ1" s="68"/>
      <c r="DCA1" s="68"/>
      <c r="DCB1" s="68"/>
      <c r="DCC1" s="68"/>
      <c r="DCD1" s="68"/>
      <c r="DCE1" s="68"/>
      <c r="DCF1" s="68"/>
      <c r="DCG1" s="68"/>
      <c r="DCH1" s="68"/>
      <c r="DCI1" s="68"/>
      <c r="DCJ1" s="68"/>
      <c r="DCK1" s="68"/>
      <c r="DCL1" s="68"/>
      <c r="DCM1" s="68"/>
      <c r="DCN1" s="68"/>
      <c r="DCO1" s="68"/>
      <c r="DCP1" s="68"/>
      <c r="DCQ1" s="68"/>
      <c r="DCR1" s="68"/>
      <c r="DCS1" s="68"/>
      <c r="DCT1" s="68"/>
      <c r="DCU1" s="68"/>
      <c r="DCV1" s="68"/>
      <c r="DCW1" s="68"/>
      <c r="DCX1" s="68"/>
      <c r="DCY1" s="68"/>
      <c r="DCZ1" s="68"/>
      <c r="DDA1" s="68"/>
      <c r="DDB1" s="68"/>
      <c r="DDC1" s="68"/>
      <c r="DDD1" s="68"/>
      <c r="DDE1" s="68"/>
      <c r="DDF1" s="68"/>
      <c r="DDG1" s="68"/>
      <c r="DDH1" s="68"/>
      <c r="DDI1" s="68"/>
      <c r="DDJ1" s="68"/>
      <c r="DDK1" s="68"/>
      <c r="DDL1" s="68"/>
      <c r="DDM1" s="68"/>
      <c r="DDN1" s="68"/>
      <c r="DDO1" s="68"/>
      <c r="DDP1" s="68"/>
      <c r="DDQ1" s="68"/>
      <c r="DDR1" s="68"/>
      <c r="DDS1" s="68"/>
      <c r="DDT1" s="68"/>
      <c r="DDU1" s="68"/>
      <c r="DDV1" s="68"/>
      <c r="DDW1" s="68"/>
      <c r="DDX1" s="68"/>
      <c r="DDY1" s="68"/>
      <c r="DDZ1" s="68"/>
      <c r="DEA1" s="68"/>
      <c r="DEB1" s="68"/>
      <c r="DEC1" s="68"/>
      <c r="DED1" s="68"/>
      <c r="DEE1" s="68"/>
      <c r="DEF1" s="68"/>
      <c r="DEG1" s="68"/>
      <c r="DEH1" s="68"/>
      <c r="DEI1" s="68"/>
      <c r="DEJ1" s="68"/>
      <c r="DEK1" s="68"/>
      <c r="DEL1" s="68"/>
      <c r="DEM1" s="68"/>
      <c r="DEN1" s="68"/>
      <c r="DEO1" s="68"/>
      <c r="DEP1" s="68"/>
      <c r="DEQ1" s="68"/>
      <c r="DER1" s="68"/>
      <c r="DES1" s="68"/>
      <c r="DET1" s="68"/>
      <c r="DEU1" s="68"/>
      <c r="DEV1" s="68"/>
      <c r="DEW1" s="68"/>
      <c r="DEX1" s="68"/>
      <c r="DEY1" s="68"/>
      <c r="DEZ1" s="68"/>
      <c r="DFA1" s="68"/>
      <c r="DFB1" s="68"/>
      <c r="DFC1" s="68"/>
      <c r="DFD1" s="68"/>
      <c r="DFE1" s="68"/>
      <c r="DFF1" s="68"/>
      <c r="DFG1" s="68"/>
      <c r="DFH1" s="68"/>
      <c r="DFI1" s="68"/>
      <c r="DFJ1" s="68"/>
      <c r="DFK1" s="68"/>
      <c r="DFL1" s="68"/>
      <c r="DFM1" s="68"/>
      <c r="DFN1" s="68"/>
      <c r="DFO1" s="68"/>
      <c r="DFP1" s="68"/>
      <c r="DFQ1" s="68"/>
      <c r="DFR1" s="68"/>
      <c r="DFS1" s="68"/>
      <c r="DFT1" s="68"/>
      <c r="DFU1" s="68"/>
      <c r="DFV1" s="68"/>
      <c r="DFW1" s="68"/>
      <c r="DFX1" s="68"/>
      <c r="DFY1" s="68"/>
      <c r="DFZ1" s="68"/>
      <c r="DGA1" s="68"/>
      <c r="DGB1" s="68"/>
      <c r="DGC1" s="68"/>
      <c r="DGD1" s="68"/>
      <c r="DGE1" s="68"/>
      <c r="DGF1" s="68"/>
      <c r="DGG1" s="68"/>
      <c r="DGH1" s="68"/>
      <c r="DGI1" s="68"/>
      <c r="DGJ1" s="68"/>
      <c r="DGK1" s="68"/>
      <c r="DGL1" s="68"/>
      <c r="DGM1" s="68"/>
      <c r="DGN1" s="68"/>
      <c r="DGO1" s="68"/>
      <c r="DGP1" s="68"/>
      <c r="DGQ1" s="68"/>
      <c r="DGR1" s="68"/>
      <c r="DGS1" s="68"/>
      <c r="DGT1" s="68"/>
      <c r="DGU1" s="68"/>
      <c r="DGV1" s="68"/>
      <c r="DGW1" s="68"/>
      <c r="DGX1" s="68"/>
      <c r="DGY1" s="68"/>
      <c r="DGZ1" s="68"/>
      <c r="DHA1" s="68"/>
      <c r="DHB1" s="68"/>
      <c r="DHC1" s="68"/>
      <c r="DHD1" s="68"/>
      <c r="DHE1" s="68"/>
      <c r="DHF1" s="68"/>
      <c r="DHG1" s="68"/>
      <c r="DHH1" s="68"/>
      <c r="DHI1" s="68"/>
      <c r="DHJ1" s="68"/>
      <c r="DHK1" s="68"/>
      <c r="DHL1" s="68"/>
      <c r="DHM1" s="68"/>
      <c r="DHN1" s="68"/>
      <c r="DHO1" s="68"/>
      <c r="DHP1" s="68"/>
      <c r="DHQ1" s="68"/>
      <c r="DHR1" s="68"/>
      <c r="DHS1" s="68"/>
      <c r="DHT1" s="68"/>
      <c r="DHU1" s="68"/>
      <c r="DHV1" s="68"/>
      <c r="DHW1" s="68"/>
      <c r="DHX1" s="68"/>
      <c r="DHY1" s="68"/>
      <c r="DHZ1" s="68"/>
      <c r="DIA1" s="68"/>
      <c r="DIB1" s="68"/>
      <c r="DIC1" s="68"/>
      <c r="DID1" s="68"/>
      <c r="DIE1" s="68"/>
      <c r="DIF1" s="68"/>
      <c r="DIG1" s="68"/>
      <c r="DIH1" s="68"/>
      <c r="DII1" s="68"/>
      <c r="DIJ1" s="68"/>
      <c r="DIK1" s="68"/>
      <c r="DIL1" s="68"/>
      <c r="DIM1" s="68"/>
      <c r="DIN1" s="68"/>
      <c r="DIO1" s="68"/>
      <c r="DIP1" s="68"/>
      <c r="DIQ1" s="68"/>
      <c r="DIR1" s="68"/>
      <c r="DIS1" s="68"/>
      <c r="DIT1" s="68"/>
      <c r="DIU1" s="68"/>
      <c r="DIV1" s="68"/>
      <c r="DIW1" s="68"/>
      <c r="DIX1" s="68"/>
      <c r="DIY1" s="68"/>
      <c r="DIZ1" s="68"/>
      <c r="DJA1" s="68"/>
      <c r="DJB1" s="68"/>
      <c r="DJC1" s="68"/>
      <c r="DJD1" s="68"/>
      <c r="DJE1" s="68"/>
      <c r="DJF1" s="68"/>
      <c r="DJG1" s="68"/>
      <c r="DJH1" s="68"/>
      <c r="DJI1" s="68"/>
      <c r="DJJ1" s="68"/>
      <c r="DJK1" s="68"/>
      <c r="DJL1" s="68"/>
      <c r="DJM1" s="68"/>
      <c r="DJN1" s="68"/>
      <c r="DJO1" s="68"/>
      <c r="DJP1" s="68"/>
      <c r="DJQ1" s="68"/>
      <c r="DJR1" s="68"/>
      <c r="DJS1" s="68"/>
      <c r="DJT1" s="68"/>
      <c r="DJU1" s="68"/>
      <c r="DJV1" s="68"/>
      <c r="DJW1" s="68"/>
      <c r="DJX1" s="68"/>
      <c r="DJY1" s="68"/>
      <c r="DJZ1" s="68"/>
      <c r="DKA1" s="68"/>
      <c r="DKB1" s="68"/>
      <c r="DKC1" s="68"/>
      <c r="DKD1" s="68"/>
      <c r="DKE1" s="68"/>
      <c r="DKF1" s="68"/>
      <c r="DKG1" s="68"/>
      <c r="DKH1" s="68"/>
      <c r="DKI1" s="68"/>
      <c r="DKJ1" s="68"/>
      <c r="DKK1" s="68"/>
      <c r="DKL1" s="68"/>
      <c r="DKM1" s="68"/>
      <c r="DKN1" s="68"/>
      <c r="DKO1" s="68"/>
      <c r="DKP1" s="68"/>
      <c r="DKQ1" s="68"/>
      <c r="DKR1" s="68"/>
      <c r="DKS1" s="68"/>
      <c r="DKT1" s="68"/>
      <c r="DKU1" s="68"/>
      <c r="DKV1" s="68"/>
      <c r="DKW1" s="68"/>
      <c r="DKX1" s="68"/>
      <c r="DKY1" s="68"/>
      <c r="DKZ1" s="68"/>
      <c r="DLA1" s="68"/>
      <c r="DLB1" s="68"/>
      <c r="DLC1" s="68"/>
      <c r="DLD1" s="68"/>
      <c r="DLE1" s="68"/>
      <c r="DLF1" s="68"/>
      <c r="DLG1" s="68"/>
      <c r="DLH1" s="68"/>
      <c r="DLI1" s="68"/>
      <c r="DLJ1" s="68"/>
      <c r="DLK1" s="68"/>
      <c r="DLL1" s="68"/>
      <c r="DLM1" s="68"/>
      <c r="DLN1" s="68"/>
      <c r="DLO1" s="68"/>
      <c r="DLP1" s="68"/>
      <c r="DLQ1" s="68"/>
      <c r="DLR1" s="68"/>
      <c r="DLS1" s="68"/>
      <c r="DLT1" s="68"/>
      <c r="DLU1" s="68"/>
      <c r="DLV1" s="68"/>
      <c r="DLW1" s="68"/>
      <c r="DLX1" s="68"/>
      <c r="DLY1" s="68"/>
      <c r="DLZ1" s="68"/>
      <c r="DMA1" s="68"/>
      <c r="DMB1" s="68"/>
      <c r="DMC1" s="68"/>
      <c r="DMD1" s="68"/>
      <c r="DME1" s="68"/>
      <c r="DMF1" s="68"/>
      <c r="DMG1" s="68"/>
      <c r="DMH1" s="68"/>
      <c r="DMI1" s="68"/>
      <c r="DMJ1" s="68"/>
      <c r="DMK1" s="68"/>
      <c r="DML1" s="68"/>
      <c r="DMM1" s="68"/>
      <c r="DMN1" s="68"/>
      <c r="DMO1" s="68"/>
      <c r="DMP1" s="68"/>
      <c r="DMQ1" s="68"/>
      <c r="DMR1" s="68"/>
      <c r="DMS1" s="68"/>
      <c r="DMT1" s="68"/>
      <c r="DMU1" s="68"/>
      <c r="DMV1" s="68"/>
      <c r="DMW1" s="68"/>
      <c r="DMX1" s="68"/>
      <c r="DMY1" s="68"/>
      <c r="DMZ1" s="68"/>
      <c r="DNA1" s="68"/>
      <c r="DNB1" s="68"/>
      <c r="DNC1" s="68"/>
      <c r="DND1" s="68"/>
      <c r="DNE1" s="68"/>
      <c r="DNF1" s="68"/>
      <c r="DNG1" s="68"/>
      <c r="DNH1" s="68"/>
      <c r="DNI1" s="68"/>
      <c r="DNJ1" s="68"/>
      <c r="DNK1" s="68"/>
      <c r="DNL1" s="68"/>
      <c r="DNM1" s="68"/>
      <c r="DNN1" s="68"/>
      <c r="DNO1" s="68"/>
      <c r="DNP1" s="68"/>
      <c r="DNQ1" s="68"/>
      <c r="DNR1" s="68"/>
      <c r="DNS1" s="68"/>
      <c r="DNT1" s="68"/>
      <c r="DNU1" s="68"/>
      <c r="DNV1" s="68"/>
      <c r="DNW1" s="68"/>
      <c r="DNX1" s="68"/>
      <c r="DNY1" s="68"/>
      <c r="DNZ1" s="68"/>
      <c r="DOA1" s="68"/>
      <c r="DOB1" s="68"/>
      <c r="DOC1" s="68"/>
      <c r="DOD1" s="68"/>
      <c r="DOE1" s="68"/>
      <c r="DOF1" s="68"/>
      <c r="DOG1" s="68"/>
      <c r="DOH1" s="68"/>
      <c r="DOI1" s="68"/>
      <c r="DOJ1" s="68"/>
      <c r="DOK1" s="68"/>
      <c r="DOL1" s="68"/>
      <c r="DOM1" s="68"/>
      <c r="DON1" s="68"/>
      <c r="DOO1" s="68"/>
      <c r="DOP1" s="68"/>
      <c r="DOQ1" s="68"/>
      <c r="DOR1" s="68"/>
      <c r="DOS1" s="68"/>
      <c r="DOT1" s="68"/>
      <c r="DOU1" s="68"/>
      <c r="DOV1" s="68"/>
      <c r="DOW1" s="68"/>
      <c r="DOX1" s="68"/>
      <c r="DOY1" s="68"/>
      <c r="DOZ1" s="68"/>
      <c r="DPA1" s="68"/>
      <c r="DPB1" s="68"/>
      <c r="DPC1" s="68"/>
      <c r="DPD1" s="68"/>
      <c r="DPE1" s="68"/>
      <c r="DPF1" s="68"/>
      <c r="DPG1" s="68"/>
      <c r="DPH1" s="68"/>
      <c r="DPI1" s="68"/>
      <c r="DPJ1" s="68"/>
      <c r="DPK1" s="68"/>
      <c r="DPL1" s="68"/>
      <c r="DPM1" s="68"/>
      <c r="DPN1" s="68"/>
      <c r="DPO1" s="68"/>
      <c r="DPP1" s="68"/>
      <c r="DPQ1" s="68"/>
      <c r="DPR1" s="68"/>
      <c r="DPS1" s="68"/>
      <c r="DPT1" s="68"/>
      <c r="DPU1" s="68"/>
      <c r="DPV1" s="68"/>
      <c r="DPW1" s="68"/>
      <c r="DPX1" s="68"/>
      <c r="DPY1" s="68"/>
      <c r="DPZ1" s="68"/>
      <c r="DQA1" s="68"/>
      <c r="DQB1" s="68"/>
      <c r="DQC1" s="68"/>
      <c r="DQD1" s="68"/>
      <c r="DQE1" s="68"/>
      <c r="DQF1" s="68"/>
      <c r="DQG1" s="68"/>
      <c r="DQH1" s="68"/>
      <c r="DQI1" s="68"/>
      <c r="DQJ1" s="68"/>
      <c r="DQK1" s="68"/>
      <c r="DQL1" s="68"/>
      <c r="DQM1" s="68"/>
      <c r="DQN1" s="68"/>
      <c r="DQO1" s="68"/>
      <c r="DQP1" s="68"/>
      <c r="DQQ1" s="68"/>
      <c r="DQR1" s="68"/>
      <c r="DQS1" s="68"/>
      <c r="DQT1" s="68"/>
      <c r="DQU1" s="68"/>
      <c r="DQV1" s="68"/>
      <c r="DQW1" s="68"/>
      <c r="DQX1" s="68"/>
      <c r="DQY1" s="68"/>
      <c r="DQZ1" s="68"/>
      <c r="DRA1" s="68"/>
      <c r="DRB1" s="68"/>
      <c r="DRC1" s="68"/>
      <c r="DRD1" s="68"/>
      <c r="DRE1" s="68"/>
      <c r="DRF1" s="68"/>
      <c r="DRG1" s="68"/>
      <c r="DRH1" s="68"/>
      <c r="DRI1" s="68"/>
      <c r="DRJ1" s="68"/>
      <c r="DRK1" s="68"/>
      <c r="DRL1" s="68"/>
      <c r="DRM1" s="68"/>
      <c r="DRN1" s="68"/>
      <c r="DRO1" s="68"/>
      <c r="DRP1" s="68"/>
      <c r="DRQ1" s="68"/>
      <c r="DRR1" s="68"/>
      <c r="DRS1" s="68"/>
      <c r="DRT1" s="68"/>
      <c r="DRU1" s="68"/>
      <c r="DRV1" s="68"/>
      <c r="DRW1" s="68"/>
      <c r="DRX1" s="68"/>
      <c r="DRY1" s="68"/>
      <c r="DRZ1" s="68"/>
      <c r="DSA1" s="68"/>
      <c r="DSB1" s="68"/>
      <c r="DSC1" s="68"/>
      <c r="DSD1" s="68"/>
      <c r="DSE1" s="68"/>
      <c r="DSF1" s="68"/>
      <c r="DSG1" s="68"/>
      <c r="DSH1" s="68"/>
      <c r="DSI1" s="68"/>
      <c r="DSJ1" s="68"/>
      <c r="DSK1" s="68"/>
      <c r="DSL1" s="68"/>
      <c r="DSM1" s="68"/>
      <c r="DSN1" s="68"/>
      <c r="DSO1" s="68"/>
      <c r="DSP1" s="68"/>
      <c r="DSQ1" s="68"/>
      <c r="DSR1" s="68"/>
      <c r="DSS1" s="68"/>
      <c r="DST1" s="68"/>
      <c r="DSU1" s="68"/>
      <c r="DSV1" s="68"/>
      <c r="DSW1" s="68"/>
      <c r="DSX1" s="68"/>
      <c r="DSY1" s="68"/>
      <c r="DSZ1" s="68"/>
      <c r="DTA1" s="68"/>
      <c r="DTB1" s="68"/>
      <c r="DTC1" s="68"/>
      <c r="DTD1" s="68"/>
      <c r="DTE1" s="68"/>
      <c r="DTF1" s="68"/>
      <c r="DTG1" s="68"/>
      <c r="DTH1" s="68"/>
      <c r="DTI1" s="68"/>
      <c r="DTJ1" s="68"/>
      <c r="DTK1" s="68"/>
      <c r="DTL1" s="68"/>
      <c r="DTM1" s="68"/>
      <c r="DTN1" s="68"/>
      <c r="DTO1" s="68"/>
      <c r="DTP1" s="68"/>
      <c r="DTQ1" s="68"/>
      <c r="DTR1" s="68"/>
      <c r="DTS1" s="68"/>
      <c r="DTT1" s="68"/>
      <c r="DTU1" s="68"/>
      <c r="DTV1" s="68"/>
      <c r="DTW1" s="68"/>
      <c r="DTX1" s="68"/>
      <c r="DTY1" s="68"/>
      <c r="DTZ1" s="68"/>
      <c r="DUA1" s="68"/>
      <c r="DUB1" s="68"/>
      <c r="DUC1" s="68"/>
      <c r="DUD1" s="68"/>
      <c r="DUE1" s="68"/>
      <c r="DUF1" s="68"/>
      <c r="DUG1" s="68"/>
      <c r="DUH1" s="68"/>
      <c r="DUI1" s="68"/>
      <c r="DUJ1" s="68"/>
      <c r="DUK1" s="68"/>
      <c r="DUL1" s="68"/>
      <c r="DUM1" s="68"/>
      <c r="DUN1" s="68"/>
      <c r="DUO1" s="68"/>
      <c r="DUP1" s="68"/>
      <c r="DUQ1" s="68"/>
      <c r="DUR1" s="68"/>
      <c r="DUS1" s="68"/>
      <c r="DUT1" s="68"/>
      <c r="DUU1" s="68"/>
      <c r="DUV1" s="68"/>
      <c r="DUW1" s="68"/>
      <c r="DUX1" s="68"/>
      <c r="DUY1" s="68"/>
      <c r="DUZ1" s="68"/>
      <c r="DVA1" s="68"/>
      <c r="DVB1" s="68"/>
      <c r="DVC1" s="68"/>
      <c r="DVD1" s="68"/>
      <c r="DVE1" s="68"/>
      <c r="DVF1" s="68"/>
      <c r="DVG1" s="68"/>
      <c r="DVH1" s="68"/>
      <c r="DVI1" s="68"/>
      <c r="DVJ1" s="68"/>
      <c r="DVK1" s="68"/>
      <c r="DVL1" s="68"/>
      <c r="DVM1" s="68"/>
      <c r="DVN1" s="68"/>
      <c r="DVO1" s="68"/>
      <c r="DVP1" s="68"/>
      <c r="DVQ1" s="68"/>
      <c r="DVR1" s="68"/>
      <c r="DVS1" s="68"/>
      <c r="DVT1" s="68"/>
      <c r="DVU1" s="68"/>
      <c r="DVV1" s="68"/>
      <c r="DVW1" s="68"/>
      <c r="DVX1" s="68"/>
      <c r="DVY1" s="68"/>
      <c r="DVZ1" s="68"/>
      <c r="DWA1" s="68"/>
      <c r="DWB1" s="68"/>
      <c r="DWC1" s="68"/>
      <c r="DWD1" s="68"/>
      <c r="DWE1" s="68"/>
      <c r="DWF1" s="68"/>
      <c r="DWG1" s="68"/>
      <c r="DWH1" s="68"/>
      <c r="DWI1" s="68"/>
      <c r="DWJ1" s="68"/>
      <c r="DWK1" s="68"/>
      <c r="DWL1" s="68"/>
      <c r="DWM1" s="68"/>
      <c r="DWN1" s="68"/>
      <c r="DWO1" s="68"/>
      <c r="DWP1" s="68"/>
      <c r="DWQ1" s="68"/>
      <c r="DWR1" s="68"/>
      <c r="DWS1" s="68"/>
      <c r="DWT1" s="68"/>
      <c r="DWU1" s="68"/>
      <c r="DWV1" s="68"/>
      <c r="DWW1" s="68"/>
      <c r="DWX1" s="68"/>
      <c r="DWY1" s="68"/>
      <c r="DWZ1" s="68"/>
      <c r="DXA1" s="68"/>
      <c r="DXB1" s="68"/>
      <c r="DXC1" s="68"/>
      <c r="DXD1" s="68"/>
      <c r="DXE1" s="68"/>
      <c r="DXF1" s="68"/>
      <c r="DXG1" s="68"/>
      <c r="DXH1" s="68"/>
      <c r="DXI1" s="68"/>
      <c r="DXJ1" s="68"/>
      <c r="DXK1" s="68"/>
      <c r="DXL1" s="68"/>
      <c r="DXM1" s="68"/>
      <c r="DXN1" s="68"/>
      <c r="DXO1" s="68"/>
      <c r="DXP1" s="68"/>
      <c r="DXQ1" s="68"/>
      <c r="DXR1" s="68"/>
      <c r="DXS1" s="68"/>
      <c r="DXT1" s="68"/>
      <c r="DXU1" s="68"/>
      <c r="DXV1" s="68"/>
      <c r="DXW1" s="68"/>
      <c r="DXX1" s="68"/>
      <c r="DXY1" s="68"/>
      <c r="DXZ1" s="68"/>
      <c r="DYA1" s="68"/>
      <c r="DYB1" s="68"/>
      <c r="DYC1" s="68"/>
      <c r="DYD1" s="68"/>
      <c r="DYE1" s="68"/>
      <c r="DYF1" s="68"/>
      <c r="DYG1" s="68"/>
      <c r="DYH1" s="68"/>
      <c r="DYI1" s="68"/>
      <c r="DYJ1" s="68"/>
      <c r="DYK1" s="68"/>
      <c r="DYL1" s="68"/>
      <c r="DYM1" s="68"/>
      <c r="DYN1" s="68"/>
      <c r="DYO1" s="68"/>
      <c r="DYP1" s="68"/>
      <c r="DYQ1" s="68"/>
      <c r="DYR1" s="68"/>
      <c r="DYS1" s="68"/>
      <c r="DYT1" s="68"/>
      <c r="DYU1" s="68"/>
      <c r="DYV1" s="68"/>
      <c r="DYW1" s="68"/>
      <c r="DYX1" s="68"/>
      <c r="DYY1" s="68"/>
      <c r="DYZ1" s="68"/>
      <c r="DZA1" s="68"/>
      <c r="DZB1" s="68"/>
      <c r="DZC1" s="68"/>
      <c r="DZD1" s="68"/>
      <c r="DZE1" s="68"/>
      <c r="DZF1" s="68"/>
      <c r="DZG1" s="68"/>
      <c r="DZH1" s="68"/>
      <c r="DZI1" s="68"/>
      <c r="DZJ1" s="68"/>
      <c r="DZK1" s="68"/>
      <c r="DZL1" s="68"/>
      <c r="DZM1" s="68"/>
      <c r="DZN1" s="68"/>
      <c r="DZO1" s="68"/>
      <c r="DZP1" s="68"/>
      <c r="DZQ1" s="68"/>
      <c r="DZR1" s="68"/>
      <c r="DZS1" s="68"/>
      <c r="DZT1" s="68"/>
      <c r="DZU1" s="68"/>
      <c r="DZV1" s="68"/>
      <c r="DZW1" s="68"/>
      <c r="DZX1" s="68"/>
      <c r="DZY1" s="68"/>
      <c r="DZZ1" s="68"/>
      <c r="EAA1" s="68"/>
      <c r="EAB1" s="68"/>
      <c r="EAC1" s="68"/>
      <c r="EAD1" s="68"/>
      <c r="EAE1" s="68"/>
      <c r="EAF1" s="68"/>
      <c r="EAG1" s="68"/>
      <c r="EAH1" s="68"/>
      <c r="EAI1" s="68"/>
      <c r="EAJ1" s="68"/>
      <c r="EAK1" s="68"/>
      <c r="EAL1" s="68"/>
      <c r="EAM1" s="68"/>
      <c r="EAN1" s="68"/>
      <c r="EAO1" s="68"/>
      <c r="EAP1" s="68"/>
      <c r="EAQ1" s="68"/>
      <c r="EAR1" s="68"/>
      <c r="EAS1" s="68"/>
      <c r="EAT1" s="68"/>
      <c r="EAU1" s="68"/>
      <c r="EAV1" s="68"/>
      <c r="EAW1" s="68"/>
      <c r="EAX1" s="68"/>
      <c r="EAY1" s="68"/>
      <c r="EAZ1" s="68"/>
      <c r="EBA1" s="68"/>
      <c r="EBB1" s="68"/>
      <c r="EBC1" s="68"/>
      <c r="EBD1" s="68"/>
      <c r="EBE1" s="68"/>
      <c r="EBF1" s="68"/>
      <c r="EBG1" s="68"/>
      <c r="EBH1" s="68"/>
      <c r="EBI1" s="68"/>
      <c r="EBJ1" s="68"/>
      <c r="EBK1" s="68"/>
      <c r="EBL1" s="68"/>
      <c r="EBM1" s="68"/>
      <c r="EBN1" s="68"/>
      <c r="EBO1" s="68"/>
      <c r="EBP1" s="68"/>
      <c r="EBQ1" s="68"/>
      <c r="EBR1" s="68"/>
      <c r="EBS1" s="68"/>
      <c r="EBT1" s="68"/>
      <c r="EBU1" s="68"/>
      <c r="EBV1" s="68"/>
      <c r="EBW1" s="68"/>
      <c r="EBX1" s="68"/>
      <c r="EBY1" s="68"/>
      <c r="EBZ1" s="68"/>
      <c r="ECA1" s="68"/>
      <c r="ECB1" s="68"/>
      <c r="ECC1" s="68"/>
      <c r="ECD1" s="68"/>
      <c r="ECE1" s="68"/>
      <c r="ECF1" s="68"/>
      <c r="ECG1" s="68"/>
      <c r="ECH1" s="68"/>
      <c r="ECI1" s="68"/>
      <c r="ECJ1" s="68"/>
      <c r="ECK1" s="68"/>
      <c r="ECL1" s="68"/>
      <c r="ECM1" s="68"/>
      <c r="ECN1" s="68"/>
      <c r="ECO1" s="68"/>
      <c r="ECP1" s="68"/>
      <c r="ECQ1" s="68"/>
      <c r="ECR1" s="68"/>
      <c r="ECS1" s="68"/>
      <c r="ECT1" s="68"/>
      <c r="ECU1" s="68"/>
      <c r="ECV1" s="68"/>
      <c r="ECW1" s="68"/>
      <c r="ECX1" s="68"/>
      <c r="ECY1" s="68"/>
      <c r="ECZ1" s="68"/>
      <c r="EDA1" s="68"/>
      <c r="EDB1" s="68"/>
      <c r="EDC1" s="68"/>
      <c r="EDD1" s="68"/>
      <c r="EDE1" s="68"/>
      <c r="EDF1" s="68"/>
      <c r="EDG1" s="68"/>
      <c r="EDH1" s="68"/>
      <c r="EDI1" s="68"/>
      <c r="EDJ1" s="68"/>
      <c r="EDK1" s="68"/>
      <c r="EDL1" s="68"/>
      <c r="EDM1" s="68"/>
      <c r="EDN1" s="68"/>
      <c r="EDO1" s="68"/>
      <c r="EDP1" s="68"/>
      <c r="EDQ1" s="68"/>
      <c r="EDR1" s="68"/>
      <c r="EDS1" s="68"/>
      <c r="EDT1" s="68"/>
      <c r="EDU1" s="68"/>
      <c r="EDV1" s="68"/>
      <c r="EDW1" s="68"/>
      <c r="EDX1" s="68"/>
      <c r="EDY1" s="68"/>
      <c r="EDZ1" s="68"/>
      <c r="EEA1" s="68"/>
      <c r="EEB1" s="68"/>
      <c r="EEC1" s="68"/>
      <c r="EED1" s="68"/>
      <c r="EEE1" s="68"/>
      <c r="EEF1" s="68"/>
      <c r="EEG1" s="68"/>
      <c r="EEH1" s="68"/>
      <c r="EEI1" s="68"/>
      <c r="EEJ1" s="68"/>
      <c r="EEK1" s="68"/>
      <c r="EEL1" s="68"/>
      <c r="EEM1" s="68"/>
      <c r="EEN1" s="68"/>
      <c r="EEO1" s="68"/>
      <c r="EEP1" s="68"/>
      <c r="EEQ1" s="68"/>
      <c r="EER1" s="68"/>
      <c r="EES1" s="68"/>
      <c r="EET1" s="68"/>
      <c r="EEU1" s="68"/>
      <c r="EEV1" s="68"/>
      <c r="EEW1" s="68"/>
      <c r="EEX1" s="68"/>
      <c r="EEY1" s="68"/>
      <c r="EEZ1" s="68"/>
      <c r="EFA1" s="68"/>
      <c r="EFB1" s="68"/>
      <c r="EFC1" s="68"/>
      <c r="EFD1" s="68"/>
      <c r="EFE1" s="68"/>
      <c r="EFF1" s="68"/>
      <c r="EFG1" s="68"/>
      <c r="EFH1" s="68"/>
      <c r="EFI1" s="68"/>
      <c r="EFJ1" s="68"/>
      <c r="EFK1" s="68"/>
      <c r="EFL1" s="68"/>
      <c r="EFM1" s="68"/>
      <c r="EFN1" s="68"/>
      <c r="EFO1" s="68"/>
      <c r="EFP1" s="68"/>
      <c r="EFQ1" s="68"/>
      <c r="EFR1" s="68"/>
      <c r="EFS1" s="68"/>
      <c r="EFT1" s="68"/>
      <c r="EFU1" s="68"/>
      <c r="EFV1" s="68"/>
      <c r="EFW1" s="68"/>
      <c r="EFX1" s="68"/>
      <c r="EFY1" s="68"/>
      <c r="EFZ1" s="68"/>
      <c r="EGA1" s="68"/>
      <c r="EGB1" s="68"/>
      <c r="EGC1" s="68"/>
      <c r="EGD1" s="68"/>
      <c r="EGE1" s="68"/>
      <c r="EGF1" s="68"/>
      <c r="EGG1" s="68"/>
      <c r="EGH1" s="68"/>
      <c r="EGI1" s="68"/>
      <c r="EGJ1" s="68"/>
      <c r="EGK1" s="68"/>
      <c r="EGL1" s="68"/>
      <c r="EGM1" s="68"/>
      <c r="EGN1" s="68"/>
      <c r="EGO1" s="68"/>
      <c r="EGP1" s="68"/>
      <c r="EGQ1" s="68"/>
      <c r="EGR1" s="68"/>
      <c r="EGS1" s="68"/>
      <c r="EGT1" s="68"/>
      <c r="EGU1" s="68"/>
      <c r="EGV1" s="68"/>
      <c r="EGW1" s="68"/>
      <c r="EGX1" s="68"/>
      <c r="EGY1" s="68"/>
      <c r="EGZ1" s="68"/>
      <c r="EHA1" s="68"/>
      <c r="EHB1" s="68"/>
      <c r="EHC1" s="68"/>
      <c r="EHD1" s="68"/>
      <c r="EHE1" s="68"/>
      <c r="EHF1" s="68"/>
      <c r="EHG1" s="68"/>
      <c r="EHH1" s="68"/>
      <c r="EHI1" s="68"/>
      <c r="EHJ1" s="68"/>
      <c r="EHK1" s="68"/>
      <c r="EHL1" s="68"/>
      <c r="EHM1" s="68"/>
      <c r="EHN1" s="68"/>
      <c r="EHO1" s="68"/>
      <c r="EHP1" s="68"/>
      <c r="EHQ1" s="68"/>
      <c r="EHR1" s="68"/>
      <c r="EHS1" s="68"/>
      <c r="EHT1" s="68"/>
      <c r="EHU1" s="68"/>
      <c r="EHV1" s="68"/>
      <c r="EHW1" s="68"/>
      <c r="EHX1" s="68"/>
      <c r="EHY1" s="68"/>
      <c r="EHZ1" s="68"/>
      <c r="EIA1" s="68"/>
      <c r="EIB1" s="68"/>
      <c r="EIC1" s="68"/>
      <c r="EID1" s="68"/>
      <c r="EIE1" s="68"/>
      <c r="EIF1" s="68"/>
      <c r="EIG1" s="68"/>
      <c r="EIH1" s="68"/>
      <c r="EII1" s="68"/>
      <c r="EIJ1" s="68"/>
      <c r="EIK1" s="68"/>
      <c r="EIL1" s="68"/>
      <c r="EIM1" s="68"/>
      <c r="EIN1" s="68"/>
      <c r="EIO1" s="68"/>
      <c r="EIP1" s="68"/>
      <c r="EIQ1" s="68"/>
      <c r="EIR1" s="68"/>
      <c r="EIS1" s="68"/>
      <c r="EIT1" s="68"/>
      <c r="EIU1" s="68"/>
      <c r="EIV1" s="68"/>
      <c r="EIW1" s="68"/>
      <c r="EIX1" s="68"/>
      <c r="EIY1" s="68"/>
      <c r="EIZ1" s="68"/>
      <c r="EJA1" s="68"/>
      <c r="EJB1" s="68"/>
      <c r="EJC1" s="68"/>
      <c r="EJD1" s="68"/>
      <c r="EJE1" s="68"/>
      <c r="EJF1" s="68"/>
      <c r="EJG1" s="68"/>
      <c r="EJH1" s="68"/>
      <c r="EJI1" s="68"/>
      <c r="EJJ1" s="68"/>
      <c r="EJK1" s="68"/>
      <c r="EJL1" s="68"/>
      <c r="EJM1" s="68"/>
      <c r="EJN1" s="68"/>
      <c r="EJO1" s="68"/>
      <c r="EJP1" s="68"/>
      <c r="EJQ1" s="68"/>
      <c r="EJR1" s="68"/>
      <c r="EJS1" s="68"/>
      <c r="EJT1" s="68"/>
      <c r="EJU1" s="68"/>
      <c r="EJV1" s="68"/>
      <c r="EJW1" s="68"/>
      <c r="EJX1" s="68"/>
      <c r="EJY1" s="68"/>
      <c r="EJZ1" s="68"/>
      <c r="EKA1" s="68"/>
      <c r="EKB1" s="68"/>
      <c r="EKC1" s="68"/>
      <c r="EKD1" s="68"/>
      <c r="EKE1" s="68"/>
      <c r="EKF1" s="68"/>
      <c r="EKG1" s="68"/>
      <c r="EKH1" s="68"/>
      <c r="EKI1" s="68"/>
      <c r="EKJ1" s="68"/>
      <c r="EKK1" s="68"/>
      <c r="EKL1" s="68"/>
      <c r="EKM1" s="68"/>
      <c r="EKN1" s="68"/>
      <c r="EKO1" s="68"/>
      <c r="EKP1" s="68"/>
      <c r="EKQ1" s="68"/>
      <c r="EKR1" s="68"/>
      <c r="EKS1" s="68"/>
      <c r="EKT1" s="68"/>
      <c r="EKU1" s="68"/>
      <c r="EKV1" s="68"/>
      <c r="EKW1" s="68"/>
      <c r="EKX1" s="68"/>
      <c r="EKY1" s="68"/>
      <c r="EKZ1" s="68"/>
      <c r="ELA1" s="68"/>
      <c r="ELB1" s="68"/>
      <c r="ELC1" s="68"/>
      <c r="ELD1" s="68"/>
      <c r="ELE1" s="68"/>
      <c r="ELF1" s="68"/>
      <c r="ELG1" s="68"/>
      <c r="ELH1" s="68"/>
      <c r="ELI1" s="68"/>
      <c r="ELJ1" s="68"/>
      <c r="ELK1" s="68"/>
      <c r="ELL1" s="68"/>
      <c r="ELM1" s="68"/>
      <c r="ELN1" s="68"/>
      <c r="ELO1" s="68"/>
      <c r="ELP1" s="68"/>
      <c r="ELQ1" s="68"/>
      <c r="ELR1" s="68"/>
      <c r="ELS1" s="68"/>
      <c r="ELT1" s="68"/>
      <c r="ELU1" s="68"/>
      <c r="ELV1" s="68"/>
      <c r="ELW1" s="68"/>
      <c r="ELX1" s="68"/>
      <c r="ELY1" s="68"/>
      <c r="ELZ1" s="68"/>
      <c r="EMA1" s="68"/>
      <c r="EMB1" s="68"/>
      <c r="EMC1" s="68"/>
      <c r="EMD1" s="68"/>
      <c r="EME1" s="68"/>
      <c r="EMF1" s="68"/>
      <c r="EMG1" s="68"/>
      <c r="EMH1" s="68"/>
      <c r="EMI1" s="68"/>
      <c r="EMJ1" s="68"/>
      <c r="EMK1" s="68"/>
      <c r="EML1" s="68"/>
      <c r="EMM1" s="68"/>
      <c r="EMN1" s="68"/>
      <c r="EMO1" s="68"/>
      <c r="EMP1" s="68"/>
      <c r="EMQ1" s="68"/>
      <c r="EMR1" s="68"/>
      <c r="EMS1" s="68"/>
      <c r="EMT1" s="68"/>
      <c r="EMU1" s="68"/>
      <c r="EMV1" s="68"/>
      <c r="EMW1" s="68"/>
      <c r="EMX1" s="68"/>
      <c r="EMY1" s="68"/>
      <c r="EMZ1" s="68"/>
      <c r="ENA1" s="68"/>
      <c r="ENB1" s="68"/>
      <c r="ENC1" s="68"/>
      <c r="END1" s="68"/>
      <c r="ENE1" s="68"/>
      <c r="ENF1" s="68"/>
      <c r="ENG1" s="68"/>
      <c r="ENH1" s="68"/>
      <c r="ENI1" s="68"/>
      <c r="ENJ1" s="68"/>
      <c r="ENK1" s="68"/>
      <c r="ENL1" s="68"/>
      <c r="ENM1" s="68"/>
      <c r="ENN1" s="68"/>
      <c r="ENO1" s="68"/>
      <c r="ENP1" s="68"/>
      <c r="ENQ1" s="68"/>
      <c r="ENR1" s="68"/>
      <c r="ENS1" s="68"/>
      <c r="ENT1" s="68"/>
      <c r="ENU1" s="68"/>
      <c r="ENV1" s="68"/>
      <c r="ENW1" s="68"/>
      <c r="ENX1" s="68"/>
      <c r="ENY1" s="68"/>
      <c r="ENZ1" s="68"/>
      <c r="EOA1" s="68"/>
      <c r="EOB1" s="68"/>
      <c r="EOC1" s="68"/>
      <c r="EOD1" s="68"/>
      <c r="EOE1" s="68"/>
      <c r="EOF1" s="68"/>
      <c r="EOG1" s="68"/>
      <c r="EOH1" s="68"/>
      <c r="EOI1" s="68"/>
      <c r="EOJ1" s="68"/>
      <c r="EOK1" s="68"/>
      <c r="EOL1" s="68"/>
      <c r="EOM1" s="68"/>
      <c r="EON1" s="68"/>
      <c r="EOO1" s="68"/>
      <c r="EOP1" s="68"/>
      <c r="EOQ1" s="68"/>
      <c r="EOR1" s="68"/>
      <c r="EOS1" s="68"/>
      <c r="EOT1" s="68"/>
      <c r="EOU1" s="68"/>
      <c r="EOV1" s="68"/>
      <c r="EOW1" s="68"/>
      <c r="EOX1" s="68"/>
      <c r="EOY1" s="68"/>
      <c r="EOZ1" s="68"/>
      <c r="EPA1" s="68"/>
      <c r="EPB1" s="68"/>
      <c r="EPC1" s="68"/>
      <c r="EPD1" s="68"/>
      <c r="EPE1" s="68"/>
      <c r="EPF1" s="68"/>
      <c r="EPG1" s="68"/>
      <c r="EPH1" s="68"/>
      <c r="EPI1" s="68"/>
      <c r="EPJ1" s="68"/>
      <c r="EPK1" s="68"/>
      <c r="EPL1" s="68"/>
      <c r="EPM1" s="68"/>
      <c r="EPN1" s="68"/>
      <c r="EPO1" s="68"/>
      <c r="EPP1" s="68"/>
      <c r="EPQ1" s="68"/>
      <c r="EPR1" s="68"/>
      <c r="EPS1" s="68"/>
      <c r="EPT1" s="68"/>
      <c r="EPU1" s="68"/>
      <c r="EPV1" s="68"/>
      <c r="EPW1" s="68"/>
      <c r="EPX1" s="68"/>
      <c r="EPY1" s="68"/>
      <c r="EPZ1" s="68"/>
      <c r="EQA1" s="68"/>
      <c r="EQB1" s="68"/>
      <c r="EQC1" s="68"/>
      <c r="EQD1" s="68"/>
      <c r="EQE1" s="68"/>
      <c r="EQF1" s="68"/>
      <c r="EQG1" s="68"/>
      <c r="EQH1" s="68"/>
      <c r="EQI1" s="68"/>
      <c r="EQJ1" s="68"/>
      <c r="EQK1" s="68"/>
      <c r="EQL1" s="68"/>
      <c r="EQM1" s="68"/>
      <c r="EQN1" s="68"/>
      <c r="EQO1" s="68"/>
      <c r="EQP1" s="68"/>
      <c r="EQQ1" s="68"/>
      <c r="EQR1" s="68"/>
      <c r="EQS1" s="68"/>
      <c r="EQT1" s="68"/>
      <c r="EQU1" s="68"/>
      <c r="EQV1" s="68"/>
      <c r="EQW1" s="68"/>
      <c r="EQX1" s="68"/>
      <c r="EQY1" s="68"/>
      <c r="EQZ1" s="68"/>
      <c r="ERA1" s="68"/>
      <c r="ERB1" s="68"/>
      <c r="ERC1" s="68"/>
      <c r="ERD1" s="68"/>
      <c r="ERE1" s="68"/>
      <c r="ERF1" s="68"/>
      <c r="ERG1" s="68"/>
      <c r="ERH1" s="68"/>
      <c r="ERI1" s="68"/>
      <c r="ERJ1" s="68"/>
      <c r="ERK1" s="68"/>
      <c r="ERL1" s="68"/>
      <c r="ERM1" s="68"/>
      <c r="ERN1" s="68"/>
      <c r="ERO1" s="68"/>
      <c r="ERP1" s="68"/>
      <c r="ERQ1" s="68"/>
      <c r="ERR1" s="68"/>
      <c r="ERS1" s="68"/>
      <c r="ERT1" s="68"/>
      <c r="ERU1" s="68"/>
      <c r="ERV1" s="68"/>
      <c r="ERW1" s="68"/>
      <c r="ERX1" s="68"/>
      <c r="ERY1" s="68"/>
      <c r="ERZ1" s="68"/>
      <c r="ESA1" s="68"/>
      <c r="ESB1" s="68"/>
      <c r="ESC1" s="68"/>
      <c r="ESD1" s="68"/>
      <c r="ESE1" s="68"/>
      <c r="ESF1" s="68"/>
      <c r="ESG1" s="68"/>
      <c r="ESH1" s="68"/>
      <c r="ESI1" s="68"/>
      <c r="ESJ1" s="68"/>
      <c r="ESK1" s="68"/>
      <c r="ESL1" s="68"/>
      <c r="ESM1" s="68"/>
      <c r="ESN1" s="68"/>
      <c r="ESO1" s="68"/>
      <c r="ESP1" s="68"/>
      <c r="ESQ1" s="68"/>
      <c r="ESR1" s="68"/>
      <c r="ESS1" s="68"/>
      <c r="EST1" s="68"/>
      <c r="ESU1" s="68"/>
      <c r="ESV1" s="68"/>
      <c r="ESW1" s="68"/>
      <c r="ESX1" s="68"/>
      <c r="ESY1" s="68"/>
      <c r="ESZ1" s="68"/>
      <c r="ETA1" s="68"/>
      <c r="ETB1" s="68"/>
      <c r="ETC1" s="68"/>
      <c r="ETD1" s="68"/>
      <c r="ETE1" s="68"/>
      <c r="ETF1" s="68"/>
      <c r="ETG1" s="68"/>
      <c r="ETH1" s="68"/>
      <c r="ETI1" s="68"/>
      <c r="ETJ1" s="68"/>
      <c r="ETK1" s="68"/>
      <c r="ETL1" s="68"/>
      <c r="ETM1" s="68"/>
      <c r="ETN1" s="68"/>
      <c r="ETO1" s="68"/>
      <c r="ETP1" s="68"/>
      <c r="ETQ1" s="68"/>
      <c r="ETR1" s="68"/>
      <c r="ETS1" s="68"/>
      <c r="ETT1" s="68"/>
      <c r="ETU1" s="68"/>
      <c r="ETV1" s="68"/>
      <c r="ETW1" s="68"/>
      <c r="ETX1" s="68"/>
      <c r="ETY1" s="68"/>
      <c r="ETZ1" s="68"/>
      <c r="EUA1" s="68"/>
      <c r="EUB1" s="68"/>
      <c r="EUC1" s="68"/>
      <c r="EUD1" s="68"/>
      <c r="EUE1" s="68"/>
      <c r="EUF1" s="68"/>
      <c r="EUG1" s="68"/>
      <c r="EUH1" s="68"/>
      <c r="EUI1" s="68"/>
      <c r="EUJ1" s="68"/>
      <c r="EUK1" s="68"/>
      <c r="EUL1" s="68"/>
      <c r="EUM1" s="68"/>
      <c r="EUN1" s="68"/>
      <c r="EUO1" s="68"/>
      <c r="EUP1" s="68"/>
      <c r="EUQ1" s="68"/>
      <c r="EUR1" s="68"/>
      <c r="EUS1" s="68"/>
      <c r="EUT1" s="68"/>
      <c r="EUU1" s="68"/>
      <c r="EUV1" s="68"/>
      <c r="EUW1" s="68"/>
      <c r="EUX1" s="68"/>
      <c r="EUY1" s="68"/>
      <c r="EUZ1" s="68"/>
      <c r="EVA1" s="68"/>
      <c r="EVB1" s="68"/>
      <c r="EVC1" s="68"/>
      <c r="EVD1" s="68"/>
      <c r="EVE1" s="68"/>
      <c r="EVF1" s="68"/>
      <c r="EVG1" s="68"/>
      <c r="EVH1" s="68"/>
      <c r="EVI1" s="68"/>
      <c r="EVJ1" s="68"/>
      <c r="EVK1" s="68"/>
      <c r="EVL1" s="68"/>
      <c r="EVM1" s="68"/>
      <c r="EVN1" s="68"/>
      <c r="EVO1" s="68"/>
      <c r="EVP1" s="68"/>
      <c r="EVQ1" s="68"/>
      <c r="EVR1" s="68"/>
      <c r="EVS1" s="68"/>
      <c r="EVT1" s="68"/>
      <c r="EVU1" s="68"/>
      <c r="EVV1" s="68"/>
      <c r="EVW1" s="68"/>
      <c r="EVX1" s="68"/>
      <c r="EVY1" s="68"/>
      <c r="EVZ1" s="68"/>
      <c r="EWA1" s="68"/>
      <c r="EWB1" s="68"/>
      <c r="EWC1" s="68"/>
      <c r="EWD1" s="68"/>
      <c r="EWE1" s="68"/>
      <c r="EWF1" s="68"/>
      <c r="EWG1" s="68"/>
      <c r="EWH1" s="68"/>
      <c r="EWI1" s="68"/>
      <c r="EWJ1" s="68"/>
      <c r="EWK1" s="68"/>
      <c r="EWL1" s="68"/>
      <c r="EWM1" s="68"/>
      <c r="EWN1" s="68"/>
      <c r="EWO1" s="68"/>
      <c r="EWP1" s="68"/>
      <c r="EWQ1" s="68"/>
      <c r="EWR1" s="68"/>
      <c r="EWS1" s="68"/>
      <c r="EWT1" s="68"/>
      <c r="EWU1" s="68"/>
      <c r="EWV1" s="68"/>
      <c r="EWW1" s="68"/>
      <c r="EWX1" s="68"/>
      <c r="EWY1" s="68"/>
      <c r="EWZ1" s="68"/>
      <c r="EXA1" s="68"/>
      <c r="EXB1" s="68"/>
      <c r="EXC1" s="68"/>
      <c r="EXD1" s="68"/>
      <c r="EXE1" s="68"/>
      <c r="EXF1" s="68"/>
      <c r="EXG1" s="68"/>
      <c r="EXH1" s="68"/>
      <c r="EXI1" s="68"/>
      <c r="EXJ1" s="68"/>
      <c r="EXK1" s="68"/>
      <c r="EXL1" s="68"/>
      <c r="EXM1" s="68"/>
      <c r="EXN1" s="68"/>
      <c r="EXO1" s="68"/>
      <c r="EXP1" s="68"/>
      <c r="EXQ1" s="68"/>
      <c r="EXR1" s="68"/>
      <c r="EXS1" s="68"/>
      <c r="EXT1" s="68"/>
      <c r="EXU1" s="68"/>
      <c r="EXV1" s="68"/>
      <c r="EXW1" s="68"/>
      <c r="EXX1" s="68"/>
      <c r="EXY1" s="68"/>
      <c r="EXZ1" s="68"/>
      <c r="EYA1" s="68"/>
      <c r="EYB1" s="68"/>
      <c r="EYC1" s="68"/>
      <c r="EYD1" s="68"/>
      <c r="EYE1" s="68"/>
      <c r="EYF1" s="68"/>
      <c r="EYG1" s="68"/>
      <c r="EYH1" s="68"/>
      <c r="EYI1" s="68"/>
      <c r="EYJ1" s="68"/>
      <c r="EYK1" s="68"/>
      <c r="EYL1" s="68"/>
      <c r="EYM1" s="68"/>
      <c r="EYN1" s="68"/>
      <c r="EYO1" s="68"/>
      <c r="EYP1" s="68"/>
      <c r="EYQ1" s="68"/>
      <c r="EYR1" s="68"/>
      <c r="EYS1" s="68"/>
      <c r="EYT1" s="68"/>
      <c r="EYU1" s="68"/>
      <c r="EYV1" s="68"/>
      <c r="EYW1" s="68"/>
      <c r="EYX1" s="68"/>
      <c r="EYY1" s="68"/>
      <c r="EYZ1" s="68"/>
      <c r="EZA1" s="68"/>
      <c r="EZB1" s="68"/>
      <c r="EZC1" s="68"/>
      <c r="EZD1" s="68"/>
      <c r="EZE1" s="68"/>
      <c r="EZF1" s="68"/>
      <c r="EZG1" s="68"/>
      <c r="EZH1" s="68"/>
      <c r="EZI1" s="68"/>
      <c r="EZJ1" s="68"/>
      <c r="EZK1" s="68"/>
      <c r="EZL1" s="68"/>
      <c r="EZM1" s="68"/>
      <c r="EZN1" s="68"/>
      <c r="EZO1" s="68"/>
      <c r="EZP1" s="68"/>
      <c r="EZQ1" s="68"/>
      <c r="EZR1" s="68"/>
      <c r="EZS1" s="68"/>
      <c r="EZT1" s="68"/>
      <c r="EZU1" s="68"/>
      <c r="EZV1" s="68"/>
      <c r="EZW1" s="68"/>
      <c r="EZX1" s="68"/>
      <c r="EZY1" s="68"/>
      <c r="EZZ1" s="68"/>
      <c r="FAA1" s="68"/>
      <c r="FAB1" s="68"/>
      <c r="FAC1" s="68"/>
      <c r="FAD1" s="68"/>
      <c r="FAE1" s="68"/>
      <c r="FAF1" s="68"/>
      <c r="FAG1" s="68"/>
      <c r="FAH1" s="68"/>
      <c r="FAI1" s="68"/>
      <c r="FAJ1" s="68"/>
      <c r="FAK1" s="68"/>
      <c r="FAL1" s="68"/>
      <c r="FAM1" s="68"/>
      <c r="FAN1" s="68"/>
      <c r="FAO1" s="68"/>
      <c r="FAP1" s="68"/>
      <c r="FAQ1" s="68"/>
      <c r="FAR1" s="68"/>
      <c r="FAS1" s="68"/>
      <c r="FAT1" s="68"/>
      <c r="FAU1" s="68"/>
      <c r="FAV1" s="68"/>
      <c r="FAW1" s="68"/>
      <c r="FAX1" s="68"/>
      <c r="FAY1" s="68"/>
      <c r="FAZ1" s="68"/>
      <c r="FBA1" s="68"/>
      <c r="FBB1" s="68"/>
      <c r="FBC1" s="68"/>
      <c r="FBD1" s="68"/>
      <c r="FBE1" s="68"/>
      <c r="FBF1" s="68"/>
      <c r="FBG1" s="68"/>
      <c r="FBH1" s="68"/>
      <c r="FBI1" s="68"/>
      <c r="FBJ1" s="68"/>
      <c r="FBK1" s="68"/>
      <c r="FBL1" s="68"/>
      <c r="FBM1" s="68"/>
      <c r="FBN1" s="68"/>
      <c r="FBO1" s="68"/>
      <c r="FBP1" s="68"/>
      <c r="FBQ1" s="68"/>
      <c r="FBR1" s="68"/>
      <c r="FBS1" s="68"/>
      <c r="FBT1" s="68"/>
      <c r="FBU1" s="68"/>
      <c r="FBV1" s="68"/>
      <c r="FBW1" s="68"/>
      <c r="FBX1" s="68"/>
      <c r="FBY1" s="68"/>
      <c r="FBZ1" s="68"/>
      <c r="FCA1" s="68"/>
      <c r="FCB1" s="68"/>
      <c r="FCC1" s="68"/>
      <c r="FCD1" s="68"/>
      <c r="FCE1" s="68"/>
      <c r="FCF1" s="68"/>
      <c r="FCG1" s="68"/>
      <c r="FCH1" s="68"/>
      <c r="FCI1" s="68"/>
      <c r="FCJ1" s="68"/>
      <c r="FCK1" s="68"/>
      <c r="FCL1" s="68"/>
      <c r="FCM1" s="68"/>
      <c r="FCN1" s="68"/>
      <c r="FCO1" s="68"/>
      <c r="FCP1" s="68"/>
      <c r="FCQ1" s="68"/>
      <c r="FCR1" s="68"/>
      <c r="FCS1" s="68"/>
      <c r="FCT1" s="68"/>
      <c r="FCU1" s="68"/>
      <c r="FCV1" s="68"/>
      <c r="FCW1" s="68"/>
      <c r="FCX1" s="68"/>
      <c r="FCY1" s="68"/>
      <c r="FCZ1" s="68"/>
      <c r="FDA1" s="68"/>
      <c r="FDB1" s="68"/>
      <c r="FDC1" s="68"/>
      <c r="FDD1" s="68"/>
      <c r="FDE1" s="68"/>
      <c r="FDF1" s="68"/>
      <c r="FDG1" s="68"/>
      <c r="FDH1" s="68"/>
      <c r="FDI1" s="68"/>
      <c r="FDJ1" s="68"/>
      <c r="FDK1" s="68"/>
      <c r="FDL1" s="68"/>
      <c r="FDM1" s="68"/>
      <c r="FDN1" s="68"/>
      <c r="FDO1" s="68"/>
      <c r="FDP1" s="68"/>
      <c r="FDQ1" s="68"/>
      <c r="FDR1" s="68"/>
      <c r="FDS1" s="68"/>
      <c r="FDT1" s="68"/>
      <c r="FDU1" s="68"/>
      <c r="FDV1" s="68"/>
      <c r="FDW1" s="68"/>
      <c r="FDX1" s="68"/>
      <c r="FDY1" s="68"/>
      <c r="FDZ1" s="68"/>
      <c r="FEA1" s="68"/>
      <c r="FEB1" s="68"/>
      <c r="FEC1" s="68"/>
      <c r="FED1" s="68"/>
      <c r="FEE1" s="68"/>
      <c r="FEF1" s="68"/>
      <c r="FEG1" s="68"/>
      <c r="FEH1" s="68"/>
      <c r="FEI1" s="68"/>
      <c r="FEJ1" s="68"/>
      <c r="FEK1" s="68"/>
      <c r="FEL1" s="68"/>
      <c r="FEM1" s="68"/>
      <c r="FEN1" s="68"/>
      <c r="FEO1" s="68"/>
      <c r="FEP1" s="68"/>
      <c r="FEQ1" s="68"/>
      <c r="FER1" s="68"/>
      <c r="FES1" s="68"/>
      <c r="FET1" s="68"/>
      <c r="FEU1" s="68"/>
      <c r="FEV1" s="68"/>
      <c r="FEW1" s="68"/>
      <c r="FEX1" s="68"/>
      <c r="FEY1" s="68"/>
      <c r="FEZ1" s="68"/>
      <c r="FFA1" s="68"/>
      <c r="FFB1" s="68"/>
      <c r="FFC1" s="68"/>
      <c r="FFD1" s="68"/>
      <c r="FFE1" s="68"/>
      <c r="FFF1" s="68"/>
      <c r="FFG1" s="68"/>
      <c r="FFH1" s="68"/>
      <c r="FFI1" s="68"/>
      <c r="FFJ1" s="68"/>
      <c r="FFK1" s="68"/>
      <c r="FFL1" s="68"/>
      <c r="FFM1" s="68"/>
      <c r="FFN1" s="68"/>
      <c r="FFO1" s="68"/>
      <c r="FFP1" s="68"/>
      <c r="FFQ1" s="68"/>
      <c r="FFR1" s="68"/>
      <c r="FFS1" s="68"/>
      <c r="FFT1" s="68"/>
      <c r="FFU1" s="68"/>
      <c r="FFV1" s="68"/>
      <c r="FFW1" s="68"/>
      <c r="FFX1" s="68"/>
      <c r="FFY1" s="68"/>
      <c r="FFZ1" s="68"/>
      <c r="FGA1" s="68"/>
      <c r="FGB1" s="68"/>
      <c r="FGC1" s="68"/>
      <c r="FGD1" s="68"/>
      <c r="FGE1" s="68"/>
      <c r="FGF1" s="68"/>
      <c r="FGG1" s="68"/>
      <c r="FGH1" s="68"/>
      <c r="FGI1" s="68"/>
      <c r="FGJ1" s="68"/>
      <c r="FGK1" s="68"/>
      <c r="FGL1" s="68"/>
      <c r="FGM1" s="68"/>
      <c r="FGN1" s="68"/>
      <c r="FGO1" s="68"/>
      <c r="FGP1" s="68"/>
      <c r="FGQ1" s="68"/>
      <c r="FGR1" s="68"/>
      <c r="FGS1" s="68"/>
      <c r="FGT1" s="68"/>
      <c r="FGU1" s="68"/>
      <c r="FGV1" s="68"/>
      <c r="FGW1" s="68"/>
      <c r="FGX1" s="68"/>
      <c r="FGY1" s="68"/>
      <c r="FGZ1" s="68"/>
      <c r="FHA1" s="68"/>
      <c r="FHB1" s="68"/>
      <c r="FHC1" s="68"/>
      <c r="FHD1" s="68"/>
      <c r="FHE1" s="68"/>
      <c r="FHF1" s="68"/>
      <c r="FHG1" s="68"/>
      <c r="FHH1" s="68"/>
      <c r="FHI1" s="68"/>
      <c r="FHJ1" s="68"/>
      <c r="FHK1" s="68"/>
      <c r="FHL1" s="68"/>
      <c r="FHM1" s="68"/>
      <c r="FHN1" s="68"/>
      <c r="FHO1" s="68"/>
      <c r="FHP1" s="68"/>
      <c r="FHQ1" s="68"/>
      <c r="FHR1" s="68"/>
      <c r="FHS1" s="68"/>
      <c r="FHT1" s="68"/>
      <c r="FHU1" s="68"/>
      <c r="FHV1" s="68"/>
      <c r="FHW1" s="68"/>
      <c r="FHX1" s="68"/>
      <c r="FHY1" s="68"/>
      <c r="FHZ1" s="68"/>
      <c r="FIA1" s="68"/>
      <c r="FIB1" s="68"/>
      <c r="FIC1" s="68"/>
      <c r="FID1" s="68"/>
      <c r="FIE1" s="68"/>
      <c r="FIF1" s="68"/>
      <c r="FIG1" s="68"/>
      <c r="FIH1" s="68"/>
      <c r="FII1" s="68"/>
      <c r="FIJ1" s="68"/>
      <c r="FIK1" s="68"/>
      <c r="FIL1" s="68"/>
      <c r="FIM1" s="68"/>
      <c r="FIN1" s="68"/>
      <c r="FIO1" s="68"/>
      <c r="FIP1" s="68"/>
      <c r="FIQ1" s="68"/>
      <c r="FIR1" s="68"/>
      <c r="FIS1" s="68"/>
      <c r="FIT1" s="68"/>
      <c r="FIU1" s="68"/>
      <c r="FIV1" s="68"/>
      <c r="FIW1" s="68"/>
      <c r="FIX1" s="68"/>
      <c r="FIY1" s="68"/>
      <c r="FIZ1" s="68"/>
      <c r="FJA1" s="68"/>
      <c r="FJB1" s="68"/>
      <c r="FJC1" s="68"/>
      <c r="FJD1" s="68"/>
      <c r="FJE1" s="68"/>
      <c r="FJF1" s="68"/>
      <c r="FJG1" s="68"/>
      <c r="FJH1" s="68"/>
      <c r="FJI1" s="68"/>
      <c r="FJJ1" s="68"/>
      <c r="FJK1" s="68"/>
      <c r="FJL1" s="68"/>
      <c r="FJM1" s="68"/>
      <c r="FJN1" s="68"/>
      <c r="FJO1" s="68"/>
      <c r="FJP1" s="68"/>
      <c r="FJQ1" s="68"/>
      <c r="FJR1" s="68"/>
      <c r="FJS1" s="68"/>
      <c r="FJT1" s="68"/>
      <c r="FJU1" s="68"/>
      <c r="FJV1" s="68"/>
      <c r="FJW1" s="68"/>
      <c r="FJX1" s="68"/>
      <c r="FJY1" s="68"/>
      <c r="FJZ1" s="68"/>
      <c r="FKA1" s="68"/>
      <c r="FKB1" s="68"/>
      <c r="FKC1" s="68"/>
      <c r="FKD1" s="68"/>
      <c r="FKE1" s="68"/>
      <c r="FKF1" s="68"/>
      <c r="FKG1" s="68"/>
      <c r="FKH1" s="68"/>
      <c r="FKI1" s="68"/>
      <c r="FKJ1" s="68"/>
      <c r="FKK1" s="68"/>
      <c r="FKL1" s="68"/>
      <c r="FKM1" s="68"/>
      <c r="FKN1" s="68"/>
      <c r="FKO1" s="68"/>
      <c r="FKP1" s="68"/>
      <c r="FKQ1" s="68"/>
      <c r="FKR1" s="68"/>
      <c r="FKS1" s="68"/>
      <c r="FKT1" s="68"/>
      <c r="FKU1" s="68"/>
      <c r="FKV1" s="68"/>
      <c r="FKW1" s="68"/>
      <c r="FKX1" s="68"/>
      <c r="FKY1" s="68"/>
      <c r="FKZ1" s="68"/>
      <c r="FLA1" s="68"/>
      <c r="FLB1" s="68"/>
      <c r="FLC1" s="68"/>
      <c r="FLD1" s="68"/>
      <c r="FLE1" s="68"/>
      <c r="FLF1" s="68"/>
      <c r="FLG1" s="68"/>
      <c r="FLH1" s="68"/>
      <c r="FLI1" s="68"/>
      <c r="FLJ1" s="68"/>
      <c r="FLK1" s="68"/>
      <c r="FLL1" s="68"/>
      <c r="FLM1" s="68"/>
      <c r="FLN1" s="68"/>
      <c r="FLO1" s="68"/>
      <c r="FLP1" s="68"/>
      <c r="FLQ1" s="68"/>
      <c r="FLR1" s="68"/>
      <c r="FLS1" s="68"/>
      <c r="FLT1" s="68"/>
      <c r="FLU1" s="68"/>
      <c r="FLV1" s="68"/>
      <c r="FLW1" s="68"/>
      <c r="FLX1" s="68"/>
      <c r="FLY1" s="68"/>
      <c r="FLZ1" s="68"/>
      <c r="FMA1" s="68"/>
      <c r="FMB1" s="68"/>
      <c r="FMC1" s="68"/>
      <c r="FMD1" s="68"/>
      <c r="FME1" s="68"/>
      <c r="FMF1" s="68"/>
      <c r="FMG1" s="68"/>
      <c r="FMH1" s="68"/>
      <c r="FMI1" s="68"/>
      <c r="FMJ1" s="68"/>
      <c r="FMK1" s="68"/>
      <c r="FML1" s="68"/>
      <c r="FMM1" s="68"/>
      <c r="FMN1" s="68"/>
      <c r="FMO1" s="68"/>
      <c r="FMP1" s="68"/>
      <c r="FMQ1" s="68"/>
      <c r="FMR1" s="68"/>
      <c r="FMS1" s="68"/>
      <c r="FMT1" s="68"/>
      <c r="FMU1" s="68"/>
      <c r="FMV1" s="68"/>
      <c r="FMW1" s="68"/>
      <c r="FMX1" s="68"/>
      <c r="FMY1" s="68"/>
      <c r="FMZ1" s="68"/>
      <c r="FNA1" s="68"/>
      <c r="FNB1" s="68"/>
      <c r="FNC1" s="68"/>
      <c r="FND1" s="68"/>
      <c r="FNE1" s="68"/>
      <c r="FNF1" s="68"/>
      <c r="FNG1" s="68"/>
      <c r="FNH1" s="68"/>
      <c r="FNI1" s="68"/>
      <c r="FNJ1" s="68"/>
      <c r="FNK1" s="68"/>
      <c r="FNL1" s="68"/>
      <c r="FNM1" s="68"/>
      <c r="FNN1" s="68"/>
      <c r="FNO1" s="68"/>
      <c r="FNP1" s="68"/>
      <c r="FNQ1" s="68"/>
      <c r="FNR1" s="68"/>
      <c r="FNS1" s="68"/>
      <c r="FNT1" s="68"/>
      <c r="FNU1" s="68"/>
      <c r="FNV1" s="68"/>
      <c r="FNW1" s="68"/>
      <c r="FNX1" s="68"/>
      <c r="FNY1" s="68"/>
      <c r="FNZ1" s="68"/>
      <c r="FOA1" s="68"/>
      <c r="FOB1" s="68"/>
      <c r="FOC1" s="68"/>
      <c r="FOD1" s="68"/>
      <c r="FOE1" s="68"/>
      <c r="FOF1" s="68"/>
      <c r="FOG1" s="68"/>
      <c r="FOH1" s="68"/>
      <c r="FOI1" s="68"/>
      <c r="FOJ1" s="68"/>
      <c r="FOK1" s="68"/>
      <c r="FOL1" s="68"/>
      <c r="FOM1" s="68"/>
      <c r="FON1" s="68"/>
      <c r="FOO1" s="68"/>
      <c r="FOP1" s="68"/>
      <c r="FOQ1" s="68"/>
      <c r="FOR1" s="68"/>
      <c r="FOS1" s="68"/>
      <c r="FOT1" s="68"/>
      <c r="FOU1" s="68"/>
      <c r="FOV1" s="68"/>
      <c r="FOW1" s="68"/>
      <c r="FOX1" s="68"/>
      <c r="FOY1" s="68"/>
      <c r="FOZ1" s="68"/>
      <c r="FPA1" s="68"/>
      <c r="FPB1" s="68"/>
      <c r="FPC1" s="68"/>
      <c r="FPD1" s="68"/>
      <c r="FPE1" s="68"/>
      <c r="FPF1" s="68"/>
      <c r="FPG1" s="68"/>
      <c r="FPH1" s="68"/>
      <c r="FPI1" s="68"/>
      <c r="FPJ1" s="68"/>
      <c r="FPK1" s="68"/>
      <c r="FPL1" s="68"/>
      <c r="FPM1" s="68"/>
      <c r="FPN1" s="68"/>
      <c r="FPO1" s="68"/>
      <c r="FPP1" s="68"/>
      <c r="FPQ1" s="68"/>
      <c r="FPR1" s="68"/>
      <c r="FPS1" s="68"/>
      <c r="FPT1" s="68"/>
      <c r="FPU1" s="68"/>
      <c r="FPV1" s="68"/>
      <c r="FPW1" s="68"/>
      <c r="FPX1" s="68"/>
      <c r="FPY1" s="68"/>
      <c r="FPZ1" s="68"/>
      <c r="FQA1" s="68"/>
      <c r="FQB1" s="68"/>
      <c r="FQC1" s="68"/>
      <c r="FQD1" s="68"/>
      <c r="FQE1" s="68"/>
      <c r="FQF1" s="68"/>
      <c r="FQG1" s="68"/>
      <c r="FQH1" s="68"/>
      <c r="FQI1" s="68"/>
      <c r="FQJ1" s="68"/>
      <c r="FQK1" s="68"/>
      <c r="FQL1" s="68"/>
      <c r="FQM1" s="68"/>
      <c r="FQN1" s="68"/>
      <c r="FQO1" s="68"/>
      <c r="FQP1" s="68"/>
      <c r="FQQ1" s="68"/>
      <c r="FQR1" s="68"/>
      <c r="FQS1" s="68"/>
      <c r="FQT1" s="68"/>
      <c r="FQU1" s="68"/>
      <c r="FQV1" s="68"/>
      <c r="FQW1" s="68"/>
      <c r="FQX1" s="68"/>
      <c r="FQY1" s="68"/>
      <c r="FQZ1" s="68"/>
      <c r="FRA1" s="68"/>
      <c r="FRB1" s="68"/>
      <c r="FRC1" s="68"/>
      <c r="FRD1" s="68"/>
      <c r="FRE1" s="68"/>
      <c r="FRF1" s="68"/>
      <c r="FRG1" s="68"/>
      <c r="FRH1" s="68"/>
      <c r="FRI1" s="68"/>
      <c r="FRJ1" s="68"/>
      <c r="FRK1" s="68"/>
      <c r="FRL1" s="68"/>
      <c r="FRM1" s="68"/>
      <c r="FRN1" s="68"/>
      <c r="FRO1" s="68"/>
      <c r="FRP1" s="68"/>
      <c r="FRQ1" s="68"/>
      <c r="FRR1" s="68"/>
      <c r="FRS1" s="68"/>
      <c r="FRT1" s="68"/>
      <c r="FRU1" s="68"/>
      <c r="FRV1" s="68"/>
      <c r="FRW1" s="68"/>
      <c r="FRX1" s="68"/>
      <c r="FRY1" s="68"/>
      <c r="FRZ1" s="68"/>
      <c r="FSA1" s="68"/>
      <c r="FSB1" s="68"/>
      <c r="FSC1" s="68"/>
      <c r="FSD1" s="68"/>
      <c r="FSE1" s="68"/>
      <c r="FSF1" s="68"/>
      <c r="FSG1" s="68"/>
      <c r="FSH1" s="68"/>
      <c r="FSI1" s="68"/>
      <c r="FSJ1" s="68"/>
      <c r="FSK1" s="68"/>
      <c r="FSL1" s="68"/>
      <c r="FSM1" s="68"/>
      <c r="FSN1" s="68"/>
      <c r="FSO1" s="68"/>
      <c r="FSP1" s="68"/>
      <c r="FSQ1" s="68"/>
      <c r="FSR1" s="68"/>
      <c r="FSS1" s="68"/>
      <c r="FST1" s="68"/>
      <c r="FSU1" s="68"/>
      <c r="FSV1" s="68"/>
      <c r="FSW1" s="68"/>
      <c r="FSX1" s="68"/>
      <c r="FSY1" s="68"/>
      <c r="FSZ1" s="68"/>
      <c r="FTA1" s="68"/>
      <c r="FTB1" s="68"/>
      <c r="FTC1" s="68"/>
      <c r="FTD1" s="68"/>
      <c r="FTE1" s="68"/>
      <c r="FTF1" s="68"/>
      <c r="FTG1" s="68"/>
      <c r="FTH1" s="68"/>
      <c r="FTI1" s="68"/>
      <c r="FTJ1" s="68"/>
      <c r="FTK1" s="68"/>
      <c r="FTL1" s="68"/>
      <c r="FTM1" s="68"/>
      <c r="FTN1" s="68"/>
      <c r="FTO1" s="68"/>
      <c r="FTP1" s="68"/>
      <c r="FTQ1" s="68"/>
      <c r="FTR1" s="68"/>
      <c r="FTS1" s="68"/>
      <c r="FTT1" s="68"/>
      <c r="FTU1" s="68"/>
      <c r="FTV1" s="68"/>
      <c r="FTW1" s="68"/>
      <c r="FTX1" s="68"/>
      <c r="FTY1" s="68"/>
      <c r="FTZ1" s="68"/>
      <c r="FUA1" s="68"/>
      <c r="FUB1" s="68"/>
      <c r="FUC1" s="68"/>
      <c r="FUD1" s="68"/>
      <c r="FUE1" s="68"/>
      <c r="FUF1" s="68"/>
      <c r="FUG1" s="68"/>
      <c r="FUH1" s="68"/>
      <c r="FUI1" s="68"/>
      <c r="FUJ1" s="68"/>
      <c r="FUK1" s="68"/>
      <c r="FUL1" s="68"/>
      <c r="FUM1" s="68"/>
      <c r="FUN1" s="68"/>
      <c r="FUO1" s="68"/>
      <c r="FUP1" s="68"/>
      <c r="FUQ1" s="68"/>
      <c r="FUR1" s="68"/>
      <c r="FUS1" s="68"/>
      <c r="FUT1" s="68"/>
      <c r="FUU1" s="68"/>
      <c r="FUV1" s="68"/>
      <c r="FUW1" s="68"/>
      <c r="FUX1" s="68"/>
      <c r="FUY1" s="68"/>
      <c r="FUZ1" s="68"/>
      <c r="FVA1" s="68"/>
      <c r="FVB1" s="68"/>
      <c r="FVC1" s="68"/>
      <c r="FVD1" s="68"/>
      <c r="FVE1" s="68"/>
      <c r="FVF1" s="68"/>
      <c r="FVG1" s="68"/>
      <c r="FVH1" s="68"/>
      <c r="FVI1" s="68"/>
      <c r="FVJ1" s="68"/>
      <c r="FVK1" s="68"/>
      <c r="FVL1" s="68"/>
      <c r="FVM1" s="68"/>
      <c r="FVN1" s="68"/>
      <c r="FVO1" s="68"/>
      <c r="FVP1" s="68"/>
      <c r="FVQ1" s="68"/>
      <c r="FVR1" s="68"/>
      <c r="FVS1" s="68"/>
      <c r="FVT1" s="68"/>
      <c r="FVU1" s="68"/>
      <c r="FVV1" s="68"/>
      <c r="FVW1" s="68"/>
      <c r="FVX1" s="68"/>
      <c r="FVY1" s="68"/>
      <c r="FVZ1" s="68"/>
      <c r="FWA1" s="68"/>
      <c r="FWB1" s="68"/>
      <c r="FWC1" s="68"/>
      <c r="FWD1" s="68"/>
      <c r="FWE1" s="68"/>
      <c r="FWF1" s="68"/>
      <c r="FWG1" s="68"/>
      <c r="FWH1" s="68"/>
      <c r="FWI1" s="68"/>
      <c r="FWJ1" s="68"/>
      <c r="FWK1" s="68"/>
      <c r="FWL1" s="68"/>
      <c r="FWM1" s="68"/>
      <c r="FWN1" s="68"/>
      <c r="FWO1" s="68"/>
      <c r="FWP1" s="68"/>
      <c r="FWQ1" s="68"/>
      <c r="FWR1" s="68"/>
      <c r="FWS1" s="68"/>
      <c r="FWT1" s="68"/>
      <c r="FWU1" s="68"/>
      <c r="FWV1" s="68"/>
      <c r="FWW1" s="68"/>
      <c r="FWX1" s="68"/>
      <c r="FWY1" s="68"/>
      <c r="FWZ1" s="68"/>
      <c r="FXA1" s="68"/>
      <c r="FXB1" s="68"/>
      <c r="FXC1" s="68"/>
      <c r="FXD1" s="68"/>
      <c r="FXE1" s="68"/>
      <c r="FXF1" s="68"/>
      <c r="FXG1" s="68"/>
      <c r="FXH1" s="68"/>
      <c r="FXI1" s="68"/>
      <c r="FXJ1" s="68"/>
      <c r="FXK1" s="68"/>
      <c r="FXL1" s="68"/>
      <c r="FXM1" s="68"/>
      <c r="FXN1" s="68"/>
      <c r="FXO1" s="68"/>
      <c r="FXP1" s="68"/>
      <c r="FXQ1" s="68"/>
      <c r="FXR1" s="68"/>
      <c r="FXS1" s="68"/>
      <c r="FXT1" s="68"/>
      <c r="FXU1" s="68"/>
      <c r="FXV1" s="68"/>
      <c r="FXW1" s="68"/>
      <c r="FXX1" s="68"/>
      <c r="FXY1" s="68"/>
      <c r="FXZ1" s="68"/>
      <c r="FYA1" s="68"/>
      <c r="FYB1" s="68"/>
      <c r="FYC1" s="68"/>
      <c r="FYD1" s="68"/>
      <c r="FYE1" s="68"/>
      <c r="FYF1" s="68"/>
      <c r="FYG1" s="68"/>
      <c r="FYH1" s="68"/>
      <c r="FYI1" s="68"/>
      <c r="FYJ1" s="68"/>
      <c r="FYK1" s="68"/>
      <c r="FYL1" s="68"/>
      <c r="FYM1" s="68"/>
      <c r="FYN1" s="68"/>
      <c r="FYO1" s="68"/>
      <c r="FYP1" s="68"/>
      <c r="FYQ1" s="68"/>
      <c r="FYR1" s="68"/>
      <c r="FYS1" s="68"/>
      <c r="FYT1" s="68"/>
      <c r="FYU1" s="68"/>
      <c r="FYV1" s="68"/>
      <c r="FYW1" s="68"/>
      <c r="FYX1" s="68"/>
      <c r="FYY1" s="68"/>
      <c r="FYZ1" s="68"/>
      <c r="FZA1" s="68"/>
      <c r="FZB1" s="68"/>
      <c r="FZC1" s="68"/>
      <c r="FZD1" s="68"/>
      <c r="FZE1" s="68"/>
      <c r="FZF1" s="68"/>
      <c r="FZG1" s="68"/>
      <c r="FZH1" s="68"/>
      <c r="FZI1" s="68"/>
      <c r="FZJ1" s="68"/>
      <c r="FZK1" s="68"/>
      <c r="FZL1" s="68"/>
      <c r="FZM1" s="68"/>
      <c r="FZN1" s="68"/>
      <c r="FZO1" s="68"/>
      <c r="FZP1" s="68"/>
      <c r="FZQ1" s="68"/>
      <c r="FZR1" s="68"/>
      <c r="FZS1" s="68"/>
      <c r="FZT1" s="68"/>
      <c r="FZU1" s="68"/>
      <c r="FZV1" s="68"/>
      <c r="FZW1" s="68"/>
      <c r="FZX1" s="68"/>
      <c r="FZY1" s="68"/>
      <c r="FZZ1" s="68"/>
      <c r="GAA1" s="68"/>
      <c r="GAB1" s="68"/>
      <c r="GAC1" s="68"/>
      <c r="GAD1" s="68"/>
      <c r="GAE1" s="68"/>
      <c r="GAF1" s="68"/>
      <c r="GAG1" s="68"/>
      <c r="GAH1" s="68"/>
      <c r="GAI1" s="68"/>
      <c r="GAJ1" s="68"/>
      <c r="GAK1" s="68"/>
      <c r="GAL1" s="68"/>
      <c r="GAM1" s="68"/>
      <c r="GAN1" s="68"/>
      <c r="GAO1" s="68"/>
      <c r="GAP1" s="68"/>
      <c r="GAQ1" s="68"/>
      <c r="GAR1" s="68"/>
      <c r="GAS1" s="68"/>
      <c r="GAT1" s="68"/>
      <c r="GAU1" s="68"/>
      <c r="GAV1" s="68"/>
      <c r="GAW1" s="68"/>
      <c r="GAX1" s="68"/>
      <c r="GAY1" s="68"/>
      <c r="GAZ1" s="68"/>
      <c r="GBA1" s="68"/>
      <c r="GBB1" s="68"/>
      <c r="GBC1" s="68"/>
      <c r="GBD1" s="68"/>
      <c r="GBE1" s="68"/>
      <c r="GBF1" s="68"/>
      <c r="GBG1" s="68"/>
      <c r="GBH1" s="68"/>
      <c r="GBI1" s="68"/>
      <c r="GBJ1" s="68"/>
      <c r="GBK1" s="68"/>
      <c r="GBL1" s="68"/>
      <c r="GBM1" s="68"/>
      <c r="GBN1" s="68"/>
      <c r="GBO1" s="68"/>
      <c r="GBP1" s="68"/>
      <c r="GBQ1" s="68"/>
      <c r="GBR1" s="68"/>
      <c r="GBS1" s="68"/>
      <c r="GBT1" s="68"/>
      <c r="GBU1" s="68"/>
      <c r="GBV1" s="68"/>
      <c r="GBW1" s="68"/>
      <c r="GBX1" s="68"/>
      <c r="GBY1" s="68"/>
      <c r="GBZ1" s="68"/>
      <c r="GCA1" s="68"/>
      <c r="GCB1" s="68"/>
      <c r="GCC1" s="68"/>
      <c r="GCD1" s="68"/>
      <c r="GCE1" s="68"/>
      <c r="GCF1" s="68"/>
      <c r="GCG1" s="68"/>
      <c r="GCH1" s="68"/>
      <c r="GCI1" s="68"/>
      <c r="GCJ1" s="68"/>
      <c r="GCK1" s="68"/>
      <c r="GCL1" s="68"/>
      <c r="GCM1" s="68"/>
      <c r="GCN1" s="68"/>
      <c r="GCO1" s="68"/>
      <c r="GCP1" s="68"/>
      <c r="GCQ1" s="68"/>
      <c r="GCR1" s="68"/>
      <c r="GCS1" s="68"/>
      <c r="GCT1" s="68"/>
      <c r="GCU1" s="68"/>
      <c r="GCV1" s="68"/>
      <c r="GCW1" s="68"/>
      <c r="GCX1" s="68"/>
      <c r="GCY1" s="68"/>
      <c r="GCZ1" s="68"/>
      <c r="GDA1" s="68"/>
      <c r="GDB1" s="68"/>
      <c r="GDC1" s="68"/>
      <c r="GDD1" s="68"/>
      <c r="GDE1" s="68"/>
      <c r="GDF1" s="68"/>
      <c r="GDG1" s="68"/>
      <c r="GDH1" s="68"/>
      <c r="GDI1" s="68"/>
      <c r="GDJ1" s="68"/>
      <c r="GDK1" s="68"/>
      <c r="GDL1" s="68"/>
      <c r="GDM1" s="68"/>
      <c r="GDN1" s="68"/>
      <c r="GDO1" s="68"/>
      <c r="GDP1" s="68"/>
      <c r="GDQ1" s="68"/>
      <c r="GDR1" s="68"/>
      <c r="GDS1" s="68"/>
      <c r="GDT1" s="68"/>
      <c r="GDU1" s="68"/>
      <c r="GDV1" s="68"/>
      <c r="GDW1" s="68"/>
      <c r="GDX1" s="68"/>
      <c r="GDY1" s="68"/>
      <c r="GDZ1" s="68"/>
      <c r="GEA1" s="68"/>
      <c r="GEB1" s="68"/>
      <c r="GEC1" s="68"/>
      <c r="GED1" s="68"/>
      <c r="GEE1" s="68"/>
      <c r="GEF1" s="68"/>
      <c r="GEG1" s="68"/>
      <c r="GEH1" s="68"/>
      <c r="GEI1" s="68"/>
      <c r="GEJ1" s="68"/>
      <c r="GEK1" s="68"/>
      <c r="GEL1" s="68"/>
      <c r="GEM1" s="68"/>
      <c r="GEN1" s="68"/>
      <c r="GEO1" s="68"/>
      <c r="GEP1" s="68"/>
      <c r="GEQ1" s="68"/>
      <c r="GER1" s="68"/>
      <c r="GES1" s="68"/>
      <c r="GET1" s="68"/>
      <c r="GEU1" s="68"/>
      <c r="GEV1" s="68"/>
      <c r="GEW1" s="68"/>
      <c r="GEX1" s="68"/>
      <c r="GEY1" s="68"/>
      <c r="GEZ1" s="68"/>
      <c r="GFA1" s="68"/>
      <c r="GFB1" s="68"/>
      <c r="GFC1" s="68"/>
      <c r="GFD1" s="68"/>
      <c r="GFE1" s="68"/>
      <c r="GFF1" s="68"/>
      <c r="GFG1" s="68"/>
      <c r="GFH1" s="68"/>
      <c r="GFI1" s="68"/>
      <c r="GFJ1" s="68"/>
      <c r="GFK1" s="68"/>
      <c r="GFL1" s="68"/>
      <c r="GFM1" s="68"/>
      <c r="GFN1" s="68"/>
      <c r="GFO1" s="68"/>
      <c r="GFP1" s="68"/>
      <c r="GFQ1" s="68"/>
      <c r="GFR1" s="68"/>
      <c r="GFS1" s="68"/>
      <c r="GFT1" s="68"/>
      <c r="GFU1" s="68"/>
      <c r="GFV1" s="68"/>
      <c r="GFW1" s="68"/>
      <c r="GFX1" s="68"/>
      <c r="GFY1" s="68"/>
      <c r="GFZ1" s="68"/>
      <c r="GGA1" s="68"/>
      <c r="GGB1" s="68"/>
      <c r="GGC1" s="68"/>
      <c r="GGD1" s="68"/>
      <c r="GGE1" s="68"/>
      <c r="GGF1" s="68"/>
      <c r="GGG1" s="68"/>
      <c r="GGH1" s="68"/>
      <c r="GGI1" s="68"/>
      <c r="GGJ1" s="68"/>
      <c r="GGK1" s="68"/>
      <c r="GGL1" s="68"/>
      <c r="GGM1" s="68"/>
      <c r="GGN1" s="68"/>
      <c r="GGO1" s="68"/>
      <c r="GGP1" s="68"/>
      <c r="GGQ1" s="68"/>
      <c r="GGR1" s="68"/>
      <c r="GGS1" s="68"/>
      <c r="GGT1" s="68"/>
      <c r="GGU1" s="68"/>
      <c r="GGV1" s="68"/>
      <c r="GGW1" s="68"/>
      <c r="GGX1" s="68"/>
      <c r="GGY1" s="68"/>
      <c r="GGZ1" s="68"/>
      <c r="GHA1" s="68"/>
      <c r="GHB1" s="68"/>
      <c r="GHC1" s="68"/>
      <c r="GHD1" s="68"/>
      <c r="GHE1" s="68"/>
      <c r="GHF1" s="68"/>
      <c r="GHG1" s="68"/>
      <c r="GHH1" s="68"/>
      <c r="GHI1" s="68"/>
      <c r="GHJ1" s="68"/>
      <c r="GHK1" s="68"/>
      <c r="GHL1" s="68"/>
      <c r="GHM1" s="68"/>
      <c r="GHN1" s="68"/>
      <c r="GHO1" s="68"/>
      <c r="GHP1" s="68"/>
      <c r="GHQ1" s="68"/>
      <c r="GHR1" s="68"/>
      <c r="GHS1" s="68"/>
      <c r="GHT1" s="68"/>
      <c r="GHU1" s="68"/>
      <c r="GHV1" s="68"/>
      <c r="GHW1" s="68"/>
      <c r="GHX1" s="68"/>
      <c r="GHY1" s="68"/>
      <c r="GHZ1" s="68"/>
      <c r="GIA1" s="68"/>
      <c r="GIB1" s="68"/>
      <c r="GIC1" s="68"/>
      <c r="GID1" s="68"/>
      <c r="GIE1" s="68"/>
      <c r="GIF1" s="68"/>
      <c r="GIG1" s="68"/>
      <c r="GIH1" s="68"/>
      <c r="GII1" s="68"/>
      <c r="GIJ1" s="68"/>
      <c r="GIK1" s="68"/>
      <c r="GIL1" s="68"/>
      <c r="GIM1" s="68"/>
      <c r="GIN1" s="68"/>
      <c r="GIO1" s="68"/>
      <c r="GIP1" s="68"/>
      <c r="GIQ1" s="68"/>
      <c r="GIR1" s="68"/>
      <c r="GIS1" s="68"/>
      <c r="GIT1" s="68"/>
      <c r="GIU1" s="68"/>
      <c r="GIV1" s="68"/>
      <c r="GIW1" s="68"/>
      <c r="GIX1" s="68"/>
      <c r="GIY1" s="68"/>
      <c r="GIZ1" s="68"/>
      <c r="GJA1" s="68"/>
      <c r="GJB1" s="68"/>
      <c r="GJC1" s="68"/>
      <c r="GJD1" s="68"/>
      <c r="GJE1" s="68"/>
      <c r="GJF1" s="68"/>
      <c r="GJG1" s="68"/>
      <c r="GJH1" s="68"/>
      <c r="GJI1" s="68"/>
      <c r="GJJ1" s="68"/>
      <c r="GJK1" s="68"/>
      <c r="GJL1" s="68"/>
      <c r="GJM1" s="68"/>
      <c r="GJN1" s="68"/>
      <c r="GJO1" s="68"/>
      <c r="GJP1" s="68"/>
      <c r="GJQ1" s="68"/>
      <c r="GJR1" s="68"/>
      <c r="GJS1" s="68"/>
      <c r="GJT1" s="68"/>
      <c r="GJU1" s="68"/>
      <c r="GJV1" s="68"/>
      <c r="GJW1" s="68"/>
      <c r="GJX1" s="68"/>
      <c r="GJY1" s="68"/>
      <c r="GJZ1" s="68"/>
      <c r="GKA1" s="68"/>
      <c r="GKB1" s="68"/>
      <c r="GKC1" s="68"/>
      <c r="GKD1" s="68"/>
      <c r="GKE1" s="68"/>
      <c r="GKF1" s="68"/>
      <c r="GKG1" s="68"/>
      <c r="GKH1" s="68"/>
      <c r="GKI1" s="68"/>
      <c r="GKJ1" s="68"/>
      <c r="GKK1" s="68"/>
      <c r="GKL1" s="68"/>
      <c r="GKM1" s="68"/>
      <c r="GKN1" s="68"/>
      <c r="GKO1" s="68"/>
      <c r="GKP1" s="68"/>
      <c r="GKQ1" s="68"/>
      <c r="GKR1" s="68"/>
      <c r="GKS1" s="68"/>
      <c r="GKT1" s="68"/>
      <c r="GKU1" s="68"/>
      <c r="GKV1" s="68"/>
      <c r="GKW1" s="68"/>
      <c r="GKX1" s="68"/>
      <c r="GKY1" s="68"/>
      <c r="GKZ1" s="68"/>
      <c r="GLA1" s="68"/>
      <c r="GLB1" s="68"/>
      <c r="GLC1" s="68"/>
      <c r="GLD1" s="68"/>
      <c r="GLE1" s="68"/>
      <c r="GLF1" s="68"/>
      <c r="GLG1" s="68"/>
      <c r="GLH1" s="68"/>
      <c r="GLI1" s="68"/>
      <c r="GLJ1" s="68"/>
      <c r="GLK1" s="68"/>
      <c r="GLL1" s="68"/>
      <c r="GLM1" s="68"/>
      <c r="GLN1" s="68"/>
      <c r="GLO1" s="68"/>
      <c r="GLP1" s="68"/>
      <c r="GLQ1" s="68"/>
      <c r="GLR1" s="68"/>
      <c r="GLS1" s="68"/>
      <c r="GLT1" s="68"/>
      <c r="GLU1" s="68"/>
      <c r="GLV1" s="68"/>
      <c r="GLW1" s="68"/>
      <c r="GLX1" s="68"/>
      <c r="GLY1" s="68"/>
      <c r="GLZ1" s="68"/>
      <c r="GMA1" s="68"/>
      <c r="GMB1" s="68"/>
      <c r="GMC1" s="68"/>
      <c r="GMD1" s="68"/>
      <c r="GME1" s="68"/>
      <c r="GMF1" s="68"/>
      <c r="GMG1" s="68"/>
      <c r="GMH1" s="68"/>
      <c r="GMI1" s="68"/>
      <c r="GMJ1" s="68"/>
      <c r="GMK1" s="68"/>
      <c r="GML1" s="68"/>
      <c r="GMM1" s="68"/>
      <c r="GMN1" s="68"/>
      <c r="GMO1" s="68"/>
      <c r="GMP1" s="68"/>
      <c r="GMQ1" s="68"/>
      <c r="GMR1" s="68"/>
      <c r="GMS1" s="68"/>
      <c r="GMT1" s="68"/>
      <c r="GMU1" s="68"/>
      <c r="GMV1" s="68"/>
      <c r="GMW1" s="68"/>
      <c r="GMX1" s="68"/>
      <c r="GMY1" s="68"/>
      <c r="GMZ1" s="68"/>
      <c r="GNA1" s="68"/>
      <c r="GNB1" s="68"/>
      <c r="GNC1" s="68"/>
      <c r="GND1" s="68"/>
      <c r="GNE1" s="68"/>
      <c r="GNF1" s="68"/>
      <c r="GNG1" s="68"/>
      <c r="GNH1" s="68"/>
      <c r="GNI1" s="68"/>
      <c r="GNJ1" s="68"/>
      <c r="GNK1" s="68"/>
      <c r="GNL1" s="68"/>
      <c r="GNM1" s="68"/>
      <c r="GNN1" s="68"/>
      <c r="GNO1" s="68"/>
      <c r="GNP1" s="68"/>
      <c r="GNQ1" s="68"/>
      <c r="GNR1" s="68"/>
      <c r="GNS1" s="68"/>
      <c r="GNT1" s="68"/>
      <c r="GNU1" s="68"/>
      <c r="GNV1" s="68"/>
      <c r="GNW1" s="68"/>
      <c r="GNX1" s="68"/>
      <c r="GNY1" s="68"/>
      <c r="GNZ1" s="68"/>
      <c r="GOA1" s="68"/>
      <c r="GOB1" s="68"/>
      <c r="GOC1" s="68"/>
      <c r="GOD1" s="68"/>
      <c r="GOE1" s="68"/>
      <c r="GOF1" s="68"/>
      <c r="GOG1" s="68"/>
      <c r="GOH1" s="68"/>
      <c r="GOI1" s="68"/>
      <c r="GOJ1" s="68"/>
      <c r="GOK1" s="68"/>
      <c r="GOL1" s="68"/>
      <c r="GOM1" s="68"/>
      <c r="GON1" s="68"/>
      <c r="GOO1" s="68"/>
      <c r="GOP1" s="68"/>
      <c r="GOQ1" s="68"/>
      <c r="GOR1" s="68"/>
      <c r="GOS1" s="68"/>
      <c r="GOT1" s="68"/>
      <c r="GOU1" s="68"/>
      <c r="GOV1" s="68"/>
      <c r="GOW1" s="68"/>
      <c r="GOX1" s="68"/>
      <c r="GOY1" s="68"/>
      <c r="GOZ1" s="68"/>
      <c r="GPA1" s="68"/>
      <c r="GPB1" s="68"/>
      <c r="GPC1" s="68"/>
      <c r="GPD1" s="68"/>
      <c r="GPE1" s="68"/>
      <c r="GPF1" s="68"/>
      <c r="GPG1" s="68"/>
      <c r="GPH1" s="68"/>
      <c r="GPI1" s="68"/>
      <c r="GPJ1" s="68"/>
      <c r="GPK1" s="68"/>
      <c r="GPL1" s="68"/>
      <c r="GPM1" s="68"/>
      <c r="GPN1" s="68"/>
      <c r="GPO1" s="68"/>
      <c r="GPP1" s="68"/>
      <c r="GPQ1" s="68"/>
      <c r="GPR1" s="68"/>
      <c r="GPS1" s="68"/>
      <c r="GPT1" s="68"/>
      <c r="GPU1" s="68"/>
      <c r="GPV1" s="68"/>
      <c r="GPW1" s="68"/>
      <c r="GPX1" s="68"/>
      <c r="GPY1" s="68"/>
      <c r="GPZ1" s="68"/>
      <c r="GQA1" s="68"/>
      <c r="GQB1" s="68"/>
      <c r="GQC1" s="68"/>
      <c r="GQD1" s="68"/>
      <c r="GQE1" s="68"/>
      <c r="GQF1" s="68"/>
      <c r="GQG1" s="68"/>
      <c r="GQH1" s="68"/>
      <c r="GQI1" s="68"/>
      <c r="GQJ1" s="68"/>
      <c r="GQK1" s="68"/>
      <c r="GQL1" s="68"/>
      <c r="GQM1" s="68"/>
      <c r="GQN1" s="68"/>
      <c r="GQO1" s="68"/>
      <c r="GQP1" s="68"/>
      <c r="GQQ1" s="68"/>
      <c r="GQR1" s="68"/>
      <c r="GQS1" s="68"/>
      <c r="GQT1" s="68"/>
      <c r="GQU1" s="68"/>
      <c r="GQV1" s="68"/>
      <c r="GQW1" s="68"/>
      <c r="GQX1" s="68"/>
      <c r="GQY1" s="68"/>
      <c r="GQZ1" s="68"/>
      <c r="GRA1" s="68"/>
      <c r="GRB1" s="68"/>
      <c r="GRC1" s="68"/>
      <c r="GRD1" s="68"/>
      <c r="GRE1" s="68"/>
      <c r="GRF1" s="68"/>
      <c r="GRG1" s="68"/>
      <c r="GRH1" s="68"/>
      <c r="GRI1" s="68"/>
      <c r="GRJ1" s="68"/>
      <c r="GRK1" s="68"/>
      <c r="GRL1" s="68"/>
      <c r="GRM1" s="68"/>
      <c r="GRN1" s="68"/>
      <c r="GRO1" s="68"/>
      <c r="GRP1" s="68"/>
      <c r="GRQ1" s="68"/>
      <c r="GRR1" s="68"/>
      <c r="GRS1" s="68"/>
      <c r="GRT1" s="68"/>
      <c r="GRU1" s="68"/>
      <c r="GRV1" s="68"/>
      <c r="GRW1" s="68"/>
      <c r="GRX1" s="68"/>
      <c r="GRY1" s="68"/>
      <c r="GRZ1" s="68"/>
      <c r="GSA1" s="68"/>
      <c r="GSB1" s="68"/>
      <c r="GSC1" s="68"/>
      <c r="GSD1" s="68"/>
      <c r="GSE1" s="68"/>
      <c r="GSF1" s="68"/>
      <c r="GSG1" s="68"/>
      <c r="GSH1" s="68"/>
      <c r="GSI1" s="68"/>
      <c r="GSJ1" s="68"/>
      <c r="GSK1" s="68"/>
      <c r="GSL1" s="68"/>
      <c r="GSM1" s="68"/>
      <c r="GSN1" s="68"/>
      <c r="GSO1" s="68"/>
      <c r="GSP1" s="68"/>
      <c r="GSQ1" s="68"/>
      <c r="GSR1" s="68"/>
      <c r="GSS1" s="68"/>
      <c r="GST1" s="68"/>
      <c r="GSU1" s="68"/>
      <c r="GSV1" s="68"/>
      <c r="GSW1" s="68"/>
      <c r="GSX1" s="68"/>
      <c r="GSY1" s="68"/>
      <c r="GSZ1" s="68"/>
      <c r="GTA1" s="68"/>
      <c r="GTB1" s="68"/>
      <c r="GTC1" s="68"/>
      <c r="GTD1" s="68"/>
      <c r="GTE1" s="68"/>
      <c r="GTF1" s="68"/>
      <c r="GTG1" s="68"/>
      <c r="GTH1" s="68"/>
      <c r="GTI1" s="68"/>
      <c r="GTJ1" s="68"/>
      <c r="GTK1" s="68"/>
      <c r="GTL1" s="68"/>
      <c r="GTM1" s="68"/>
      <c r="GTN1" s="68"/>
      <c r="GTO1" s="68"/>
      <c r="GTP1" s="68"/>
      <c r="GTQ1" s="68"/>
      <c r="GTR1" s="68"/>
      <c r="GTS1" s="68"/>
      <c r="GTT1" s="68"/>
      <c r="GTU1" s="68"/>
      <c r="GTV1" s="68"/>
      <c r="GTW1" s="68"/>
      <c r="GTX1" s="68"/>
      <c r="GTY1" s="68"/>
      <c r="GTZ1" s="68"/>
      <c r="GUA1" s="68"/>
      <c r="GUB1" s="68"/>
      <c r="GUC1" s="68"/>
      <c r="GUD1" s="68"/>
      <c r="GUE1" s="68"/>
      <c r="GUF1" s="68"/>
      <c r="GUG1" s="68"/>
      <c r="GUH1" s="68"/>
      <c r="GUI1" s="68"/>
      <c r="GUJ1" s="68"/>
      <c r="GUK1" s="68"/>
      <c r="GUL1" s="68"/>
      <c r="GUM1" s="68"/>
      <c r="GUN1" s="68"/>
      <c r="GUO1" s="68"/>
      <c r="GUP1" s="68"/>
      <c r="GUQ1" s="68"/>
      <c r="GUR1" s="68"/>
      <c r="GUS1" s="68"/>
      <c r="GUT1" s="68"/>
      <c r="GUU1" s="68"/>
      <c r="GUV1" s="68"/>
      <c r="GUW1" s="68"/>
      <c r="GUX1" s="68"/>
      <c r="GUY1" s="68"/>
      <c r="GUZ1" s="68"/>
      <c r="GVA1" s="68"/>
      <c r="GVB1" s="68"/>
      <c r="GVC1" s="68"/>
      <c r="GVD1" s="68"/>
      <c r="GVE1" s="68"/>
      <c r="GVF1" s="68"/>
      <c r="GVG1" s="68"/>
      <c r="GVH1" s="68"/>
      <c r="GVI1" s="68"/>
      <c r="GVJ1" s="68"/>
      <c r="GVK1" s="68"/>
      <c r="GVL1" s="68"/>
      <c r="GVM1" s="68"/>
      <c r="GVN1" s="68"/>
      <c r="GVO1" s="68"/>
      <c r="GVP1" s="68"/>
      <c r="GVQ1" s="68"/>
      <c r="GVR1" s="68"/>
      <c r="GVS1" s="68"/>
      <c r="GVT1" s="68"/>
      <c r="GVU1" s="68"/>
      <c r="GVV1" s="68"/>
      <c r="GVW1" s="68"/>
      <c r="GVX1" s="68"/>
      <c r="GVY1" s="68"/>
      <c r="GVZ1" s="68"/>
      <c r="GWA1" s="68"/>
      <c r="GWB1" s="68"/>
      <c r="GWC1" s="68"/>
      <c r="GWD1" s="68"/>
      <c r="GWE1" s="68"/>
      <c r="GWF1" s="68"/>
      <c r="GWG1" s="68"/>
      <c r="GWH1" s="68"/>
      <c r="GWI1" s="68"/>
      <c r="GWJ1" s="68"/>
      <c r="GWK1" s="68"/>
      <c r="GWL1" s="68"/>
      <c r="GWM1" s="68"/>
      <c r="GWN1" s="68"/>
      <c r="GWO1" s="68"/>
      <c r="GWP1" s="68"/>
      <c r="GWQ1" s="68"/>
      <c r="GWR1" s="68"/>
      <c r="GWS1" s="68"/>
      <c r="GWT1" s="68"/>
      <c r="GWU1" s="68"/>
      <c r="GWV1" s="68"/>
      <c r="GWW1" s="68"/>
      <c r="GWX1" s="68"/>
      <c r="GWY1" s="68"/>
      <c r="GWZ1" s="68"/>
      <c r="GXA1" s="68"/>
      <c r="GXB1" s="68"/>
      <c r="GXC1" s="68"/>
      <c r="GXD1" s="68"/>
      <c r="GXE1" s="68"/>
      <c r="GXF1" s="68"/>
      <c r="GXG1" s="68"/>
      <c r="GXH1" s="68"/>
      <c r="GXI1" s="68"/>
      <c r="GXJ1" s="68"/>
      <c r="GXK1" s="68"/>
      <c r="GXL1" s="68"/>
      <c r="GXM1" s="68"/>
      <c r="GXN1" s="68"/>
      <c r="GXO1" s="68"/>
      <c r="GXP1" s="68"/>
      <c r="GXQ1" s="68"/>
      <c r="GXR1" s="68"/>
      <c r="GXS1" s="68"/>
      <c r="GXT1" s="68"/>
      <c r="GXU1" s="68"/>
      <c r="GXV1" s="68"/>
      <c r="GXW1" s="68"/>
      <c r="GXX1" s="68"/>
      <c r="GXY1" s="68"/>
      <c r="GXZ1" s="68"/>
      <c r="GYA1" s="68"/>
      <c r="GYB1" s="68"/>
      <c r="GYC1" s="68"/>
      <c r="GYD1" s="68"/>
      <c r="GYE1" s="68"/>
      <c r="GYF1" s="68"/>
      <c r="GYG1" s="68"/>
      <c r="GYH1" s="68"/>
      <c r="GYI1" s="68"/>
      <c r="GYJ1" s="68"/>
      <c r="GYK1" s="68"/>
      <c r="GYL1" s="68"/>
      <c r="GYM1" s="68"/>
      <c r="GYN1" s="68"/>
      <c r="GYO1" s="68"/>
      <c r="GYP1" s="68"/>
      <c r="GYQ1" s="68"/>
      <c r="GYR1" s="68"/>
      <c r="GYS1" s="68"/>
      <c r="GYT1" s="68"/>
      <c r="GYU1" s="68"/>
      <c r="GYV1" s="68"/>
      <c r="GYW1" s="68"/>
      <c r="GYX1" s="68"/>
      <c r="GYY1" s="68"/>
      <c r="GYZ1" s="68"/>
      <c r="GZA1" s="68"/>
      <c r="GZB1" s="68"/>
      <c r="GZC1" s="68"/>
      <c r="GZD1" s="68"/>
      <c r="GZE1" s="68"/>
      <c r="GZF1" s="68"/>
      <c r="GZG1" s="68"/>
      <c r="GZH1" s="68"/>
      <c r="GZI1" s="68"/>
      <c r="GZJ1" s="68"/>
      <c r="GZK1" s="68"/>
      <c r="GZL1" s="68"/>
      <c r="GZM1" s="68"/>
      <c r="GZN1" s="68"/>
      <c r="GZO1" s="68"/>
      <c r="GZP1" s="68"/>
      <c r="GZQ1" s="68"/>
      <c r="GZR1" s="68"/>
      <c r="GZS1" s="68"/>
      <c r="GZT1" s="68"/>
      <c r="GZU1" s="68"/>
      <c r="GZV1" s="68"/>
      <c r="GZW1" s="68"/>
      <c r="GZX1" s="68"/>
      <c r="GZY1" s="68"/>
      <c r="GZZ1" s="68"/>
      <c r="HAA1" s="68"/>
      <c r="HAB1" s="68"/>
      <c r="HAC1" s="68"/>
      <c r="HAD1" s="68"/>
      <c r="HAE1" s="68"/>
      <c r="HAF1" s="68"/>
      <c r="HAG1" s="68"/>
      <c r="HAH1" s="68"/>
      <c r="HAI1" s="68"/>
      <c r="HAJ1" s="68"/>
      <c r="HAK1" s="68"/>
      <c r="HAL1" s="68"/>
      <c r="HAM1" s="68"/>
      <c r="HAN1" s="68"/>
      <c r="HAO1" s="68"/>
      <c r="HAP1" s="68"/>
      <c r="HAQ1" s="68"/>
      <c r="HAR1" s="68"/>
      <c r="HAS1" s="68"/>
      <c r="HAT1" s="68"/>
      <c r="HAU1" s="68"/>
      <c r="HAV1" s="68"/>
      <c r="HAW1" s="68"/>
      <c r="HAX1" s="68"/>
      <c r="HAY1" s="68"/>
      <c r="HAZ1" s="68"/>
      <c r="HBA1" s="68"/>
      <c r="HBB1" s="68"/>
      <c r="HBC1" s="68"/>
      <c r="HBD1" s="68"/>
      <c r="HBE1" s="68"/>
      <c r="HBF1" s="68"/>
      <c r="HBG1" s="68"/>
      <c r="HBH1" s="68"/>
      <c r="HBI1" s="68"/>
      <c r="HBJ1" s="68"/>
      <c r="HBK1" s="68"/>
      <c r="HBL1" s="68"/>
      <c r="HBM1" s="68"/>
      <c r="HBN1" s="68"/>
      <c r="HBO1" s="68"/>
      <c r="HBP1" s="68"/>
      <c r="HBQ1" s="68"/>
      <c r="HBR1" s="68"/>
      <c r="HBS1" s="68"/>
      <c r="HBT1" s="68"/>
      <c r="HBU1" s="68"/>
      <c r="HBV1" s="68"/>
      <c r="HBW1" s="68"/>
      <c r="HBX1" s="68"/>
      <c r="HBY1" s="68"/>
      <c r="HBZ1" s="68"/>
      <c r="HCA1" s="68"/>
      <c r="HCB1" s="68"/>
      <c r="HCC1" s="68"/>
      <c r="HCD1" s="68"/>
      <c r="HCE1" s="68"/>
      <c r="HCF1" s="68"/>
      <c r="HCG1" s="68"/>
      <c r="HCH1" s="68"/>
      <c r="HCI1" s="68"/>
      <c r="HCJ1" s="68"/>
      <c r="HCK1" s="68"/>
      <c r="HCL1" s="68"/>
      <c r="HCM1" s="68"/>
      <c r="HCN1" s="68"/>
      <c r="HCO1" s="68"/>
      <c r="HCP1" s="68"/>
      <c r="HCQ1" s="68"/>
      <c r="HCR1" s="68"/>
      <c r="HCS1" s="68"/>
      <c r="HCT1" s="68"/>
      <c r="HCU1" s="68"/>
      <c r="HCV1" s="68"/>
      <c r="HCW1" s="68"/>
      <c r="HCX1" s="68"/>
      <c r="HCY1" s="68"/>
      <c r="HCZ1" s="68"/>
      <c r="HDA1" s="68"/>
      <c r="HDB1" s="68"/>
      <c r="HDC1" s="68"/>
      <c r="HDD1" s="68"/>
      <c r="HDE1" s="68"/>
      <c r="HDF1" s="68"/>
      <c r="HDG1" s="68"/>
      <c r="HDH1" s="68"/>
      <c r="HDI1" s="68"/>
      <c r="HDJ1" s="68"/>
      <c r="HDK1" s="68"/>
      <c r="HDL1" s="68"/>
      <c r="HDM1" s="68"/>
      <c r="HDN1" s="68"/>
      <c r="HDO1" s="68"/>
      <c r="HDP1" s="68"/>
      <c r="HDQ1" s="68"/>
      <c r="HDR1" s="68"/>
      <c r="HDS1" s="68"/>
      <c r="HDT1" s="68"/>
      <c r="HDU1" s="68"/>
      <c r="HDV1" s="68"/>
      <c r="HDW1" s="68"/>
      <c r="HDX1" s="68"/>
      <c r="HDY1" s="68"/>
      <c r="HDZ1" s="68"/>
      <c r="HEA1" s="68"/>
      <c r="HEB1" s="68"/>
      <c r="HEC1" s="68"/>
      <c r="HED1" s="68"/>
      <c r="HEE1" s="68"/>
      <c r="HEF1" s="68"/>
      <c r="HEG1" s="68"/>
      <c r="HEH1" s="68"/>
      <c r="HEI1" s="68"/>
      <c r="HEJ1" s="68"/>
      <c r="HEK1" s="68"/>
      <c r="HEL1" s="68"/>
      <c r="HEM1" s="68"/>
      <c r="HEN1" s="68"/>
      <c r="HEO1" s="68"/>
      <c r="HEP1" s="68"/>
      <c r="HEQ1" s="68"/>
      <c r="HER1" s="68"/>
      <c r="HES1" s="68"/>
      <c r="HET1" s="68"/>
      <c r="HEU1" s="68"/>
      <c r="HEV1" s="68"/>
      <c r="HEW1" s="68"/>
      <c r="HEX1" s="68"/>
      <c r="HEY1" s="68"/>
      <c r="HEZ1" s="68"/>
      <c r="HFA1" s="68"/>
      <c r="HFB1" s="68"/>
      <c r="HFC1" s="68"/>
      <c r="HFD1" s="68"/>
      <c r="HFE1" s="68"/>
      <c r="HFF1" s="68"/>
      <c r="HFG1" s="68"/>
      <c r="HFH1" s="68"/>
      <c r="HFI1" s="68"/>
      <c r="HFJ1" s="68"/>
      <c r="HFK1" s="68"/>
      <c r="HFL1" s="68"/>
      <c r="HFM1" s="68"/>
      <c r="HFN1" s="68"/>
      <c r="HFO1" s="68"/>
      <c r="HFP1" s="68"/>
      <c r="HFQ1" s="68"/>
      <c r="HFR1" s="68"/>
      <c r="HFS1" s="68"/>
      <c r="HFT1" s="68"/>
      <c r="HFU1" s="68"/>
      <c r="HFV1" s="68"/>
      <c r="HFW1" s="68"/>
      <c r="HFX1" s="68"/>
      <c r="HFY1" s="68"/>
      <c r="HFZ1" s="68"/>
      <c r="HGA1" s="68"/>
      <c r="HGB1" s="68"/>
      <c r="HGC1" s="68"/>
      <c r="HGD1" s="68"/>
      <c r="HGE1" s="68"/>
      <c r="HGF1" s="68"/>
      <c r="HGG1" s="68"/>
      <c r="HGH1" s="68"/>
      <c r="HGI1" s="68"/>
      <c r="HGJ1" s="68"/>
      <c r="HGK1" s="68"/>
      <c r="HGL1" s="68"/>
      <c r="HGM1" s="68"/>
      <c r="HGN1" s="68"/>
      <c r="HGO1" s="68"/>
      <c r="HGP1" s="68"/>
      <c r="HGQ1" s="68"/>
      <c r="HGR1" s="68"/>
      <c r="HGS1" s="68"/>
      <c r="HGT1" s="68"/>
      <c r="HGU1" s="68"/>
      <c r="HGV1" s="68"/>
      <c r="HGW1" s="68"/>
      <c r="HGX1" s="68"/>
      <c r="HGY1" s="68"/>
      <c r="HGZ1" s="68"/>
      <c r="HHA1" s="68"/>
      <c r="HHB1" s="68"/>
      <c r="HHC1" s="68"/>
      <c r="HHD1" s="68"/>
      <c r="HHE1" s="68"/>
      <c r="HHF1" s="68"/>
      <c r="HHG1" s="68"/>
      <c r="HHH1" s="68"/>
      <c r="HHI1" s="68"/>
      <c r="HHJ1" s="68"/>
      <c r="HHK1" s="68"/>
      <c r="HHL1" s="68"/>
      <c r="HHM1" s="68"/>
      <c r="HHN1" s="68"/>
      <c r="HHO1" s="68"/>
      <c r="HHP1" s="68"/>
      <c r="HHQ1" s="68"/>
      <c r="HHR1" s="68"/>
      <c r="HHS1" s="68"/>
      <c r="HHT1" s="68"/>
      <c r="HHU1" s="68"/>
      <c r="HHV1" s="68"/>
      <c r="HHW1" s="68"/>
      <c r="HHX1" s="68"/>
      <c r="HHY1" s="68"/>
      <c r="HHZ1" s="68"/>
      <c r="HIA1" s="68"/>
      <c r="HIB1" s="68"/>
      <c r="HIC1" s="68"/>
      <c r="HID1" s="68"/>
      <c r="HIE1" s="68"/>
      <c r="HIF1" s="68"/>
      <c r="HIG1" s="68"/>
      <c r="HIH1" s="68"/>
      <c r="HII1" s="68"/>
      <c r="HIJ1" s="68"/>
      <c r="HIK1" s="68"/>
      <c r="HIL1" s="68"/>
      <c r="HIM1" s="68"/>
      <c r="HIN1" s="68"/>
      <c r="HIO1" s="68"/>
      <c r="HIP1" s="68"/>
      <c r="HIQ1" s="68"/>
      <c r="HIR1" s="68"/>
      <c r="HIS1" s="68"/>
      <c r="HIT1" s="68"/>
      <c r="HIU1" s="68"/>
      <c r="HIV1" s="68"/>
      <c r="HIW1" s="68"/>
      <c r="HIX1" s="68"/>
      <c r="HIY1" s="68"/>
      <c r="HIZ1" s="68"/>
      <c r="HJA1" s="68"/>
      <c r="HJB1" s="68"/>
      <c r="HJC1" s="68"/>
      <c r="HJD1" s="68"/>
      <c r="HJE1" s="68"/>
      <c r="HJF1" s="68"/>
      <c r="HJG1" s="68"/>
      <c r="HJH1" s="68"/>
      <c r="HJI1" s="68"/>
      <c r="HJJ1" s="68"/>
      <c r="HJK1" s="68"/>
      <c r="HJL1" s="68"/>
      <c r="HJM1" s="68"/>
      <c r="HJN1" s="68"/>
      <c r="HJO1" s="68"/>
      <c r="HJP1" s="68"/>
      <c r="HJQ1" s="68"/>
      <c r="HJR1" s="68"/>
      <c r="HJS1" s="68"/>
      <c r="HJT1" s="68"/>
      <c r="HJU1" s="68"/>
      <c r="HJV1" s="68"/>
      <c r="HJW1" s="68"/>
      <c r="HJX1" s="68"/>
      <c r="HJY1" s="68"/>
      <c r="HJZ1" s="68"/>
      <c r="HKA1" s="68"/>
      <c r="HKB1" s="68"/>
      <c r="HKC1" s="68"/>
      <c r="HKD1" s="68"/>
      <c r="HKE1" s="68"/>
      <c r="HKF1" s="68"/>
      <c r="HKG1" s="68"/>
      <c r="HKH1" s="68"/>
      <c r="HKI1" s="68"/>
      <c r="HKJ1" s="68"/>
      <c r="HKK1" s="68"/>
      <c r="HKL1" s="68"/>
      <c r="HKM1" s="68"/>
      <c r="HKN1" s="68"/>
      <c r="HKO1" s="68"/>
      <c r="HKP1" s="68"/>
      <c r="HKQ1" s="68"/>
      <c r="HKR1" s="68"/>
      <c r="HKS1" s="68"/>
      <c r="HKT1" s="68"/>
      <c r="HKU1" s="68"/>
      <c r="HKV1" s="68"/>
      <c r="HKW1" s="68"/>
      <c r="HKX1" s="68"/>
      <c r="HKY1" s="68"/>
      <c r="HKZ1" s="68"/>
      <c r="HLA1" s="68"/>
      <c r="HLB1" s="68"/>
      <c r="HLC1" s="68"/>
      <c r="HLD1" s="68"/>
      <c r="HLE1" s="68"/>
      <c r="HLF1" s="68"/>
      <c r="HLG1" s="68"/>
      <c r="HLH1" s="68"/>
      <c r="HLI1" s="68"/>
      <c r="HLJ1" s="68"/>
      <c r="HLK1" s="68"/>
      <c r="HLL1" s="68"/>
      <c r="HLM1" s="68"/>
      <c r="HLN1" s="68"/>
      <c r="HLO1" s="68"/>
      <c r="HLP1" s="68"/>
      <c r="HLQ1" s="68"/>
      <c r="HLR1" s="68"/>
      <c r="HLS1" s="68"/>
      <c r="HLT1" s="68"/>
      <c r="HLU1" s="68"/>
      <c r="HLV1" s="68"/>
      <c r="HLW1" s="68"/>
      <c r="HLX1" s="68"/>
      <c r="HLY1" s="68"/>
      <c r="HLZ1" s="68"/>
      <c r="HMA1" s="68"/>
      <c r="HMB1" s="68"/>
      <c r="HMC1" s="68"/>
      <c r="HMD1" s="68"/>
      <c r="HME1" s="68"/>
      <c r="HMF1" s="68"/>
      <c r="HMG1" s="68"/>
      <c r="HMH1" s="68"/>
      <c r="HMI1" s="68"/>
      <c r="HMJ1" s="68"/>
      <c r="HMK1" s="68"/>
      <c r="HML1" s="68"/>
      <c r="HMM1" s="68"/>
      <c r="HMN1" s="68"/>
      <c r="HMO1" s="68"/>
      <c r="HMP1" s="68"/>
      <c r="HMQ1" s="68"/>
      <c r="HMR1" s="68"/>
      <c r="HMS1" s="68"/>
      <c r="HMT1" s="68"/>
      <c r="HMU1" s="68"/>
      <c r="HMV1" s="68"/>
      <c r="HMW1" s="68"/>
      <c r="HMX1" s="68"/>
      <c r="HMY1" s="68"/>
      <c r="HMZ1" s="68"/>
      <c r="HNA1" s="68"/>
      <c r="HNB1" s="68"/>
      <c r="HNC1" s="68"/>
      <c r="HND1" s="68"/>
      <c r="HNE1" s="68"/>
      <c r="HNF1" s="68"/>
      <c r="HNG1" s="68"/>
      <c r="HNH1" s="68"/>
      <c r="HNI1" s="68"/>
      <c r="HNJ1" s="68"/>
      <c r="HNK1" s="68"/>
      <c r="HNL1" s="68"/>
      <c r="HNM1" s="68"/>
      <c r="HNN1" s="68"/>
      <c r="HNO1" s="68"/>
      <c r="HNP1" s="68"/>
      <c r="HNQ1" s="68"/>
      <c r="HNR1" s="68"/>
      <c r="HNS1" s="68"/>
      <c r="HNT1" s="68"/>
      <c r="HNU1" s="68"/>
      <c r="HNV1" s="68"/>
      <c r="HNW1" s="68"/>
      <c r="HNX1" s="68"/>
      <c r="HNY1" s="68"/>
      <c r="HNZ1" s="68"/>
      <c r="HOA1" s="68"/>
      <c r="HOB1" s="68"/>
      <c r="HOC1" s="68"/>
      <c r="HOD1" s="68"/>
      <c r="HOE1" s="68"/>
      <c r="HOF1" s="68"/>
      <c r="HOG1" s="68"/>
      <c r="HOH1" s="68"/>
      <c r="HOI1" s="68"/>
      <c r="HOJ1" s="68"/>
      <c r="HOK1" s="68"/>
      <c r="HOL1" s="68"/>
      <c r="HOM1" s="68"/>
      <c r="HON1" s="68"/>
      <c r="HOO1" s="68"/>
      <c r="HOP1" s="68"/>
      <c r="HOQ1" s="68"/>
      <c r="HOR1" s="68"/>
      <c r="HOS1" s="68"/>
      <c r="HOT1" s="68"/>
      <c r="HOU1" s="68"/>
      <c r="HOV1" s="68"/>
      <c r="HOW1" s="68"/>
      <c r="HOX1" s="68"/>
      <c r="HOY1" s="68"/>
      <c r="HOZ1" s="68"/>
      <c r="HPA1" s="68"/>
      <c r="HPB1" s="68"/>
      <c r="HPC1" s="68"/>
      <c r="HPD1" s="68"/>
      <c r="HPE1" s="68"/>
      <c r="HPF1" s="68"/>
      <c r="HPG1" s="68"/>
      <c r="HPH1" s="68"/>
      <c r="HPI1" s="68"/>
      <c r="HPJ1" s="68"/>
      <c r="HPK1" s="68"/>
      <c r="HPL1" s="68"/>
      <c r="HPM1" s="68"/>
      <c r="HPN1" s="68"/>
      <c r="HPO1" s="68"/>
      <c r="HPP1" s="68"/>
      <c r="HPQ1" s="68"/>
      <c r="HPR1" s="68"/>
      <c r="HPS1" s="68"/>
      <c r="HPT1" s="68"/>
      <c r="HPU1" s="68"/>
      <c r="HPV1" s="68"/>
      <c r="HPW1" s="68"/>
      <c r="HPX1" s="68"/>
      <c r="HPY1" s="68"/>
      <c r="HPZ1" s="68"/>
      <c r="HQA1" s="68"/>
      <c r="HQB1" s="68"/>
      <c r="HQC1" s="68"/>
      <c r="HQD1" s="68"/>
      <c r="HQE1" s="68"/>
      <c r="HQF1" s="68"/>
      <c r="HQG1" s="68"/>
      <c r="HQH1" s="68"/>
      <c r="HQI1" s="68"/>
      <c r="HQJ1" s="68"/>
      <c r="HQK1" s="68"/>
      <c r="HQL1" s="68"/>
      <c r="HQM1" s="68"/>
      <c r="HQN1" s="68"/>
      <c r="HQO1" s="68"/>
      <c r="HQP1" s="68"/>
      <c r="HQQ1" s="68"/>
      <c r="HQR1" s="68"/>
      <c r="HQS1" s="68"/>
      <c r="HQT1" s="68"/>
      <c r="HQU1" s="68"/>
      <c r="HQV1" s="68"/>
      <c r="HQW1" s="68"/>
      <c r="HQX1" s="68"/>
      <c r="HQY1" s="68"/>
      <c r="HQZ1" s="68"/>
      <c r="HRA1" s="68"/>
      <c r="HRB1" s="68"/>
      <c r="HRC1" s="68"/>
      <c r="HRD1" s="68"/>
      <c r="HRE1" s="68"/>
      <c r="HRF1" s="68"/>
      <c r="HRG1" s="68"/>
      <c r="HRH1" s="68"/>
      <c r="HRI1" s="68"/>
      <c r="HRJ1" s="68"/>
      <c r="HRK1" s="68"/>
      <c r="HRL1" s="68"/>
      <c r="HRM1" s="68"/>
      <c r="HRN1" s="68"/>
      <c r="HRO1" s="68"/>
      <c r="HRP1" s="68"/>
      <c r="HRQ1" s="68"/>
      <c r="HRR1" s="68"/>
      <c r="HRS1" s="68"/>
      <c r="HRT1" s="68"/>
      <c r="HRU1" s="68"/>
      <c r="HRV1" s="68"/>
      <c r="HRW1" s="68"/>
      <c r="HRX1" s="68"/>
      <c r="HRY1" s="68"/>
      <c r="HRZ1" s="68"/>
      <c r="HSA1" s="68"/>
      <c r="HSB1" s="68"/>
      <c r="HSC1" s="68"/>
      <c r="HSD1" s="68"/>
      <c r="HSE1" s="68"/>
      <c r="HSF1" s="68"/>
      <c r="HSG1" s="68"/>
      <c r="HSH1" s="68"/>
      <c r="HSI1" s="68"/>
      <c r="HSJ1" s="68"/>
      <c r="HSK1" s="68"/>
      <c r="HSL1" s="68"/>
      <c r="HSM1" s="68"/>
      <c r="HSN1" s="68"/>
      <c r="HSO1" s="68"/>
      <c r="HSP1" s="68"/>
      <c r="HSQ1" s="68"/>
      <c r="HSR1" s="68"/>
      <c r="HSS1" s="68"/>
      <c r="HST1" s="68"/>
      <c r="HSU1" s="68"/>
      <c r="HSV1" s="68"/>
      <c r="HSW1" s="68"/>
      <c r="HSX1" s="68"/>
      <c r="HSY1" s="68"/>
      <c r="HSZ1" s="68"/>
      <c r="HTA1" s="68"/>
      <c r="HTB1" s="68"/>
      <c r="HTC1" s="68"/>
      <c r="HTD1" s="68"/>
      <c r="HTE1" s="68"/>
      <c r="HTF1" s="68"/>
      <c r="HTG1" s="68"/>
      <c r="HTH1" s="68"/>
      <c r="HTI1" s="68"/>
      <c r="HTJ1" s="68"/>
      <c r="HTK1" s="68"/>
      <c r="HTL1" s="68"/>
      <c r="HTM1" s="68"/>
      <c r="HTN1" s="68"/>
      <c r="HTO1" s="68"/>
      <c r="HTP1" s="68"/>
      <c r="HTQ1" s="68"/>
      <c r="HTR1" s="68"/>
      <c r="HTS1" s="68"/>
      <c r="HTT1" s="68"/>
      <c r="HTU1" s="68"/>
      <c r="HTV1" s="68"/>
      <c r="HTW1" s="68"/>
      <c r="HTX1" s="68"/>
      <c r="HTY1" s="68"/>
      <c r="HTZ1" s="68"/>
      <c r="HUA1" s="68"/>
      <c r="HUB1" s="68"/>
      <c r="HUC1" s="68"/>
      <c r="HUD1" s="68"/>
      <c r="HUE1" s="68"/>
      <c r="HUF1" s="68"/>
      <c r="HUG1" s="68"/>
      <c r="HUH1" s="68"/>
      <c r="HUI1" s="68"/>
      <c r="HUJ1" s="68"/>
      <c r="HUK1" s="68"/>
      <c r="HUL1" s="68"/>
      <c r="HUM1" s="68"/>
      <c r="HUN1" s="68"/>
      <c r="HUO1" s="68"/>
      <c r="HUP1" s="68"/>
      <c r="HUQ1" s="68"/>
      <c r="HUR1" s="68"/>
      <c r="HUS1" s="68"/>
      <c r="HUT1" s="68"/>
      <c r="HUU1" s="68"/>
      <c r="HUV1" s="68"/>
      <c r="HUW1" s="68"/>
      <c r="HUX1" s="68"/>
      <c r="HUY1" s="68"/>
      <c r="HUZ1" s="68"/>
      <c r="HVA1" s="68"/>
      <c r="HVB1" s="68"/>
      <c r="HVC1" s="68"/>
      <c r="HVD1" s="68"/>
      <c r="HVE1" s="68"/>
      <c r="HVF1" s="68"/>
      <c r="HVG1" s="68"/>
      <c r="HVH1" s="68"/>
      <c r="HVI1" s="68"/>
      <c r="HVJ1" s="68"/>
      <c r="HVK1" s="68"/>
      <c r="HVL1" s="68"/>
      <c r="HVM1" s="68"/>
      <c r="HVN1" s="68"/>
      <c r="HVO1" s="68"/>
      <c r="HVP1" s="68"/>
      <c r="HVQ1" s="68"/>
      <c r="HVR1" s="68"/>
      <c r="HVS1" s="68"/>
      <c r="HVT1" s="68"/>
      <c r="HVU1" s="68"/>
      <c r="HVV1" s="68"/>
      <c r="HVW1" s="68"/>
      <c r="HVX1" s="68"/>
      <c r="HVY1" s="68"/>
      <c r="HVZ1" s="68"/>
      <c r="HWA1" s="68"/>
      <c r="HWB1" s="68"/>
      <c r="HWC1" s="68"/>
      <c r="HWD1" s="68"/>
      <c r="HWE1" s="68"/>
      <c r="HWF1" s="68"/>
      <c r="HWG1" s="68"/>
      <c r="HWH1" s="68"/>
      <c r="HWI1" s="68"/>
      <c r="HWJ1" s="68"/>
      <c r="HWK1" s="68"/>
      <c r="HWL1" s="68"/>
      <c r="HWM1" s="68"/>
      <c r="HWN1" s="68"/>
      <c r="HWO1" s="68"/>
      <c r="HWP1" s="68"/>
      <c r="HWQ1" s="68"/>
      <c r="HWR1" s="68"/>
      <c r="HWS1" s="68"/>
      <c r="HWT1" s="68"/>
      <c r="HWU1" s="68"/>
      <c r="HWV1" s="68"/>
      <c r="HWW1" s="68"/>
      <c r="HWX1" s="68"/>
      <c r="HWY1" s="68"/>
      <c r="HWZ1" s="68"/>
      <c r="HXA1" s="68"/>
      <c r="HXB1" s="68"/>
      <c r="HXC1" s="68"/>
      <c r="HXD1" s="68"/>
      <c r="HXE1" s="68"/>
      <c r="HXF1" s="68"/>
      <c r="HXG1" s="68"/>
      <c r="HXH1" s="68"/>
      <c r="HXI1" s="68"/>
      <c r="HXJ1" s="68"/>
      <c r="HXK1" s="68"/>
      <c r="HXL1" s="68"/>
      <c r="HXM1" s="68"/>
      <c r="HXN1" s="68"/>
      <c r="HXO1" s="68"/>
      <c r="HXP1" s="68"/>
      <c r="HXQ1" s="68"/>
      <c r="HXR1" s="68"/>
      <c r="HXS1" s="68"/>
      <c r="HXT1" s="68"/>
      <c r="HXU1" s="68"/>
      <c r="HXV1" s="68"/>
      <c r="HXW1" s="68"/>
      <c r="HXX1" s="68"/>
      <c r="HXY1" s="68"/>
      <c r="HXZ1" s="68"/>
      <c r="HYA1" s="68"/>
      <c r="HYB1" s="68"/>
      <c r="HYC1" s="68"/>
      <c r="HYD1" s="68"/>
      <c r="HYE1" s="68"/>
      <c r="HYF1" s="68"/>
      <c r="HYG1" s="68"/>
      <c r="HYH1" s="68"/>
      <c r="HYI1" s="68"/>
      <c r="HYJ1" s="68"/>
      <c r="HYK1" s="68"/>
      <c r="HYL1" s="68"/>
      <c r="HYM1" s="68"/>
      <c r="HYN1" s="68"/>
      <c r="HYO1" s="68"/>
      <c r="HYP1" s="68"/>
      <c r="HYQ1" s="68"/>
      <c r="HYR1" s="68"/>
      <c r="HYS1" s="68"/>
      <c r="HYT1" s="68"/>
      <c r="HYU1" s="68"/>
      <c r="HYV1" s="68"/>
      <c r="HYW1" s="68"/>
      <c r="HYX1" s="68"/>
      <c r="HYY1" s="68"/>
      <c r="HYZ1" s="68"/>
      <c r="HZA1" s="68"/>
      <c r="HZB1" s="68"/>
      <c r="HZC1" s="68"/>
      <c r="HZD1" s="68"/>
      <c r="HZE1" s="68"/>
      <c r="HZF1" s="68"/>
      <c r="HZG1" s="68"/>
      <c r="HZH1" s="68"/>
      <c r="HZI1" s="68"/>
      <c r="HZJ1" s="68"/>
      <c r="HZK1" s="68"/>
      <c r="HZL1" s="68"/>
      <c r="HZM1" s="68"/>
      <c r="HZN1" s="68"/>
      <c r="HZO1" s="68"/>
      <c r="HZP1" s="68"/>
      <c r="HZQ1" s="68"/>
      <c r="HZR1" s="68"/>
      <c r="HZS1" s="68"/>
      <c r="HZT1" s="68"/>
      <c r="HZU1" s="68"/>
      <c r="HZV1" s="68"/>
      <c r="HZW1" s="68"/>
      <c r="HZX1" s="68"/>
      <c r="HZY1" s="68"/>
      <c r="HZZ1" s="68"/>
      <c r="IAA1" s="68"/>
      <c r="IAB1" s="68"/>
      <c r="IAC1" s="68"/>
      <c r="IAD1" s="68"/>
      <c r="IAE1" s="68"/>
      <c r="IAF1" s="68"/>
      <c r="IAG1" s="68"/>
      <c r="IAH1" s="68"/>
      <c r="IAI1" s="68"/>
      <c r="IAJ1" s="68"/>
      <c r="IAK1" s="68"/>
      <c r="IAL1" s="68"/>
      <c r="IAM1" s="68"/>
      <c r="IAN1" s="68"/>
      <c r="IAO1" s="68"/>
      <c r="IAP1" s="68"/>
      <c r="IAQ1" s="68"/>
      <c r="IAR1" s="68"/>
      <c r="IAS1" s="68"/>
      <c r="IAT1" s="68"/>
      <c r="IAU1" s="68"/>
      <c r="IAV1" s="68"/>
      <c r="IAW1" s="68"/>
      <c r="IAX1" s="68"/>
      <c r="IAY1" s="68"/>
      <c r="IAZ1" s="68"/>
      <c r="IBA1" s="68"/>
      <c r="IBB1" s="68"/>
      <c r="IBC1" s="68"/>
      <c r="IBD1" s="68"/>
      <c r="IBE1" s="68"/>
      <c r="IBF1" s="68"/>
      <c r="IBG1" s="68"/>
      <c r="IBH1" s="68"/>
      <c r="IBI1" s="68"/>
      <c r="IBJ1" s="68"/>
      <c r="IBK1" s="68"/>
      <c r="IBL1" s="68"/>
      <c r="IBM1" s="68"/>
      <c r="IBN1" s="68"/>
      <c r="IBO1" s="68"/>
      <c r="IBP1" s="68"/>
      <c r="IBQ1" s="68"/>
      <c r="IBR1" s="68"/>
      <c r="IBS1" s="68"/>
      <c r="IBT1" s="68"/>
      <c r="IBU1" s="68"/>
      <c r="IBV1" s="68"/>
      <c r="IBW1" s="68"/>
      <c r="IBX1" s="68"/>
      <c r="IBY1" s="68"/>
      <c r="IBZ1" s="68"/>
      <c r="ICA1" s="68"/>
      <c r="ICB1" s="68"/>
      <c r="ICC1" s="68"/>
      <c r="ICD1" s="68"/>
      <c r="ICE1" s="68"/>
      <c r="ICF1" s="68"/>
      <c r="ICG1" s="68"/>
      <c r="ICH1" s="68"/>
      <c r="ICI1" s="68"/>
      <c r="ICJ1" s="68"/>
      <c r="ICK1" s="68"/>
      <c r="ICL1" s="68"/>
      <c r="ICM1" s="68"/>
      <c r="ICN1" s="68"/>
      <c r="ICO1" s="68"/>
      <c r="ICP1" s="68"/>
      <c r="ICQ1" s="68"/>
      <c r="ICR1" s="68"/>
      <c r="ICS1" s="68"/>
      <c r="ICT1" s="68"/>
      <c r="ICU1" s="68"/>
      <c r="ICV1" s="68"/>
      <c r="ICW1" s="68"/>
      <c r="ICX1" s="68"/>
      <c r="ICY1" s="68"/>
      <c r="ICZ1" s="68"/>
      <c r="IDA1" s="68"/>
      <c r="IDB1" s="68"/>
      <c r="IDC1" s="68"/>
      <c r="IDD1" s="68"/>
      <c r="IDE1" s="68"/>
      <c r="IDF1" s="68"/>
      <c r="IDG1" s="68"/>
      <c r="IDH1" s="68"/>
      <c r="IDI1" s="68"/>
      <c r="IDJ1" s="68"/>
      <c r="IDK1" s="68"/>
      <c r="IDL1" s="68"/>
      <c r="IDM1" s="68"/>
      <c r="IDN1" s="68"/>
      <c r="IDO1" s="68"/>
      <c r="IDP1" s="68"/>
      <c r="IDQ1" s="68"/>
      <c r="IDR1" s="68"/>
      <c r="IDS1" s="68"/>
      <c r="IDT1" s="68"/>
      <c r="IDU1" s="68"/>
      <c r="IDV1" s="68"/>
      <c r="IDW1" s="68"/>
      <c r="IDX1" s="68"/>
      <c r="IDY1" s="68"/>
      <c r="IDZ1" s="68"/>
      <c r="IEA1" s="68"/>
      <c r="IEB1" s="68"/>
      <c r="IEC1" s="68"/>
      <c r="IED1" s="68"/>
      <c r="IEE1" s="68"/>
      <c r="IEF1" s="68"/>
      <c r="IEG1" s="68"/>
      <c r="IEH1" s="68"/>
      <c r="IEI1" s="68"/>
      <c r="IEJ1" s="68"/>
      <c r="IEK1" s="68"/>
      <c r="IEL1" s="68"/>
      <c r="IEM1" s="68"/>
      <c r="IEN1" s="68"/>
      <c r="IEO1" s="68"/>
      <c r="IEP1" s="68"/>
      <c r="IEQ1" s="68"/>
      <c r="IER1" s="68"/>
      <c r="IES1" s="68"/>
      <c r="IET1" s="68"/>
      <c r="IEU1" s="68"/>
      <c r="IEV1" s="68"/>
      <c r="IEW1" s="68"/>
      <c r="IEX1" s="68"/>
      <c r="IEY1" s="68"/>
      <c r="IEZ1" s="68"/>
      <c r="IFA1" s="68"/>
      <c r="IFB1" s="68"/>
      <c r="IFC1" s="68"/>
      <c r="IFD1" s="68"/>
      <c r="IFE1" s="68"/>
      <c r="IFF1" s="68"/>
      <c r="IFG1" s="68"/>
      <c r="IFH1" s="68"/>
      <c r="IFI1" s="68"/>
      <c r="IFJ1" s="68"/>
      <c r="IFK1" s="68"/>
      <c r="IFL1" s="68"/>
      <c r="IFM1" s="68"/>
      <c r="IFN1" s="68"/>
      <c r="IFO1" s="68"/>
      <c r="IFP1" s="68"/>
      <c r="IFQ1" s="68"/>
      <c r="IFR1" s="68"/>
      <c r="IFS1" s="68"/>
      <c r="IFT1" s="68"/>
      <c r="IFU1" s="68"/>
      <c r="IFV1" s="68"/>
      <c r="IFW1" s="68"/>
      <c r="IFX1" s="68"/>
      <c r="IFY1" s="68"/>
      <c r="IFZ1" s="68"/>
      <c r="IGA1" s="68"/>
      <c r="IGB1" s="68"/>
      <c r="IGC1" s="68"/>
      <c r="IGD1" s="68"/>
      <c r="IGE1" s="68"/>
      <c r="IGF1" s="68"/>
      <c r="IGG1" s="68"/>
      <c r="IGH1" s="68"/>
      <c r="IGI1" s="68"/>
      <c r="IGJ1" s="68"/>
      <c r="IGK1" s="68"/>
      <c r="IGL1" s="68"/>
      <c r="IGM1" s="68"/>
      <c r="IGN1" s="68"/>
      <c r="IGO1" s="68"/>
      <c r="IGP1" s="68"/>
      <c r="IGQ1" s="68"/>
      <c r="IGR1" s="68"/>
      <c r="IGS1" s="68"/>
      <c r="IGT1" s="68"/>
      <c r="IGU1" s="68"/>
      <c r="IGV1" s="68"/>
      <c r="IGW1" s="68"/>
      <c r="IGX1" s="68"/>
      <c r="IGY1" s="68"/>
      <c r="IGZ1" s="68"/>
      <c r="IHA1" s="68"/>
      <c r="IHB1" s="68"/>
      <c r="IHC1" s="68"/>
      <c r="IHD1" s="68"/>
      <c r="IHE1" s="68"/>
      <c r="IHF1" s="68"/>
      <c r="IHG1" s="68"/>
      <c r="IHH1" s="68"/>
      <c r="IHI1" s="68"/>
      <c r="IHJ1" s="68"/>
      <c r="IHK1" s="68"/>
      <c r="IHL1" s="68"/>
      <c r="IHM1" s="68"/>
      <c r="IHN1" s="68"/>
      <c r="IHO1" s="68"/>
      <c r="IHP1" s="68"/>
      <c r="IHQ1" s="68"/>
      <c r="IHR1" s="68"/>
      <c r="IHS1" s="68"/>
      <c r="IHT1" s="68"/>
      <c r="IHU1" s="68"/>
      <c r="IHV1" s="68"/>
      <c r="IHW1" s="68"/>
      <c r="IHX1" s="68"/>
      <c r="IHY1" s="68"/>
      <c r="IHZ1" s="68"/>
      <c r="IIA1" s="68"/>
      <c r="IIB1" s="68"/>
      <c r="IIC1" s="68"/>
      <c r="IID1" s="68"/>
      <c r="IIE1" s="68"/>
      <c r="IIF1" s="68"/>
      <c r="IIG1" s="68"/>
      <c r="IIH1" s="68"/>
      <c r="III1" s="68"/>
      <c r="IIJ1" s="68"/>
      <c r="IIK1" s="68"/>
      <c r="IIL1" s="68"/>
      <c r="IIM1" s="68"/>
      <c r="IIN1" s="68"/>
      <c r="IIO1" s="68"/>
      <c r="IIP1" s="68"/>
      <c r="IIQ1" s="68"/>
      <c r="IIR1" s="68"/>
      <c r="IIS1" s="68"/>
      <c r="IIT1" s="68"/>
      <c r="IIU1" s="68"/>
      <c r="IIV1" s="68"/>
      <c r="IIW1" s="68"/>
      <c r="IIX1" s="68"/>
      <c r="IIY1" s="68"/>
      <c r="IIZ1" s="68"/>
      <c r="IJA1" s="68"/>
      <c r="IJB1" s="68"/>
      <c r="IJC1" s="68"/>
      <c r="IJD1" s="68"/>
      <c r="IJE1" s="68"/>
      <c r="IJF1" s="68"/>
      <c r="IJG1" s="68"/>
      <c r="IJH1" s="68"/>
      <c r="IJI1" s="68"/>
      <c r="IJJ1" s="68"/>
      <c r="IJK1" s="68"/>
      <c r="IJL1" s="68"/>
      <c r="IJM1" s="68"/>
      <c r="IJN1" s="68"/>
      <c r="IJO1" s="68"/>
      <c r="IJP1" s="68"/>
      <c r="IJQ1" s="68"/>
      <c r="IJR1" s="68"/>
      <c r="IJS1" s="68"/>
      <c r="IJT1" s="68"/>
      <c r="IJU1" s="68"/>
      <c r="IJV1" s="68"/>
      <c r="IJW1" s="68"/>
      <c r="IJX1" s="68"/>
      <c r="IJY1" s="68"/>
      <c r="IJZ1" s="68"/>
      <c r="IKA1" s="68"/>
      <c r="IKB1" s="68"/>
      <c r="IKC1" s="68"/>
      <c r="IKD1" s="68"/>
      <c r="IKE1" s="68"/>
      <c r="IKF1" s="68"/>
      <c r="IKG1" s="68"/>
      <c r="IKH1" s="68"/>
      <c r="IKI1" s="68"/>
      <c r="IKJ1" s="68"/>
      <c r="IKK1" s="68"/>
      <c r="IKL1" s="68"/>
      <c r="IKM1" s="68"/>
      <c r="IKN1" s="68"/>
      <c r="IKO1" s="68"/>
      <c r="IKP1" s="68"/>
      <c r="IKQ1" s="68"/>
      <c r="IKR1" s="68"/>
      <c r="IKS1" s="68"/>
      <c r="IKT1" s="68"/>
      <c r="IKU1" s="68"/>
      <c r="IKV1" s="68"/>
      <c r="IKW1" s="68"/>
      <c r="IKX1" s="68"/>
      <c r="IKY1" s="68"/>
      <c r="IKZ1" s="68"/>
      <c r="ILA1" s="68"/>
      <c r="ILB1" s="68"/>
      <c r="ILC1" s="68"/>
      <c r="ILD1" s="68"/>
      <c r="ILE1" s="68"/>
      <c r="ILF1" s="68"/>
      <c r="ILG1" s="68"/>
      <c r="ILH1" s="68"/>
      <c r="ILI1" s="68"/>
      <c r="ILJ1" s="68"/>
      <c r="ILK1" s="68"/>
      <c r="ILL1" s="68"/>
      <c r="ILM1" s="68"/>
      <c r="ILN1" s="68"/>
      <c r="ILO1" s="68"/>
      <c r="ILP1" s="68"/>
      <c r="ILQ1" s="68"/>
      <c r="ILR1" s="68"/>
      <c r="ILS1" s="68"/>
      <c r="ILT1" s="68"/>
      <c r="ILU1" s="68"/>
      <c r="ILV1" s="68"/>
      <c r="ILW1" s="68"/>
      <c r="ILX1" s="68"/>
      <c r="ILY1" s="68"/>
      <c r="ILZ1" s="68"/>
      <c r="IMA1" s="68"/>
      <c r="IMB1" s="68"/>
      <c r="IMC1" s="68"/>
      <c r="IMD1" s="68"/>
      <c r="IME1" s="68"/>
      <c r="IMF1" s="68"/>
      <c r="IMG1" s="68"/>
      <c r="IMH1" s="68"/>
      <c r="IMI1" s="68"/>
      <c r="IMJ1" s="68"/>
      <c r="IMK1" s="68"/>
      <c r="IML1" s="68"/>
      <c r="IMM1" s="68"/>
      <c r="IMN1" s="68"/>
      <c r="IMO1" s="68"/>
      <c r="IMP1" s="68"/>
      <c r="IMQ1" s="68"/>
      <c r="IMR1" s="68"/>
      <c r="IMS1" s="68"/>
      <c r="IMT1" s="68"/>
      <c r="IMU1" s="68"/>
      <c r="IMV1" s="68"/>
      <c r="IMW1" s="68"/>
      <c r="IMX1" s="68"/>
      <c r="IMY1" s="68"/>
      <c r="IMZ1" s="68"/>
      <c r="INA1" s="68"/>
      <c r="INB1" s="68"/>
      <c r="INC1" s="68"/>
      <c r="IND1" s="68"/>
      <c r="INE1" s="68"/>
      <c r="INF1" s="68"/>
      <c r="ING1" s="68"/>
      <c r="INH1" s="68"/>
      <c r="INI1" s="68"/>
      <c r="INJ1" s="68"/>
      <c r="INK1" s="68"/>
      <c r="INL1" s="68"/>
      <c r="INM1" s="68"/>
      <c r="INN1" s="68"/>
      <c r="INO1" s="68"/>
      <c r="INP1" s="68"/>
      <c r="INQ1" s="68"/>
      <c r="INR1" s="68"/>
      <c r="INS1" s="68"/>
      <c r="INT1" s="68"/>
      <c r="INU1" s="68"/>
      <c r="INV1" s="68"/>
      <c r="INW1" s="68"/>
      <c r="INX1" s="68"/>
      <c r="INY1" s="68"/>
      <c r="INZ1" s="68"/>
      <c r="IOA1" s="68"/>
      <c r="IOB1" s="68"/>
      <c r="IOC1" s="68"/>
      <c r="IOD1" s="68"/>
      <c r="IOE1" s="68"/>
      <c r="IOF1" s="68"/>
      <c r="IOG1" s="68"/>
      <c r="IOH1" s="68"/>
      <c r="IOI1" s="68"/>
      <c r="IOJ1" s="68"/>
      <c r="IOK1" s="68"/>
      <c r="IOL1" s="68"/>
      <c r="IOM1" s="68"/>
      <c r="ION1" s="68"/>
      <c r="IOO1" s="68"/>
      <c r="IOP1" s="68"/>
      <c r="IOQ1" s="68"/>
      <c r="IOR1" s="68"/>
      <c r="IOS1" s="68"/>
      <c r="IOT1" s="68"/>
      <c r="IOU1" s="68"/>
      <c r="IOV1" s="68"/>
      <c r="IOW1" s="68"/>
      <c r="IOX1" s="68"/>
      <c r="IOY1" s="68"/>
      <c r="IOZ1" s="68"/>
      <c r="IPA1" s="68"/>
      <c r="IPB1" s="68"/>
      <c r="IPC1" s="68"/>
      <c r="IPD1" s="68"/>
      <c r="IPE1" s="68"/>
      <c r="IPF1" s="68"/>
      <c r="IPG1" s="68"/>
      <c r="IPH1" s="68"/>
      <c r="IPI1" s="68"/>
      <c r="IPJ1" s="68"/>
      <c r="IPK1" s="68"/>
      <c r="IPL1" s="68"/>
      <c r="IPM1" s="68"/>
      <c r="IPN1" s="68"/>
      <c r="IPO1" s="68"/>
      <c r="IPP1" s="68"/>
      <c r="IPQ1" s="68"/>
      <c r="IPR1" s="68"/>
      <c r="IPS1" s="68"/>
      <c r="IPT1" s="68"/>
      <c r="IPU1" s="68"/>
      <c r="IPV1" s="68"/>
      <c r="IPW1" s="68"/>
      <c r="IPX1" s="68"/>
      <c r="IPY1" s="68"/>
      <c r="IPZ1" s="68"/>
      <c r="IQA1" s="68"/>
      <c r="IQB1" s="68"/>
      <c r="IQC1" s="68"/>
      <c r="IQD1" s="68"/>
      <c r="IQE1" s="68"/>
      <c r="IQF1" s="68"/>
      <c r="IQG1" s="68"/>
      <c r="IQH1" s="68"/>
      <c r="IQI1" s="68"/>
      <c r="IQJ1" s="68"/>
      <c r="IQK1" s="68"/>
      <c r="IQL1" s="68"/>
      <c r="IQM1" s="68"/>
      <c r="IQN1" s="68"/>
      <c r="IQO1" s="68"/>
      <c r="IQP1" s="68"/>
      <c r="IQQ1" s="68"/>
      <c r="IQR1" s="68"/>
      <c r="IQS1" s="68"/>
      <c r="IQT1" s="68"/>
      <c r="IQU1" s="68"/>
      <c r="IQV1" s="68"/>
      <c r="IQW1" s="68"/>
      <c r="IQX1" s="68"/>
      <c r="IQY1" s="68"/>
      <c r="IQZ1" s="68"/>
      <c r="IRA1" s="68"/>
      <c r="IRB1" s="68"/>
      <c r="IRC1" s="68"/>
      <c r="IRD1" s="68"/>
      <c r="IRE1" s="68"/>
      <c r="IRF1" s="68"/>
      <c r="IRG1" s="68"/>
      <c r="IRH1" s="68"/>
      <c r="IRI1" s="68"/>
      <c r="IRJ1" s="68"/>
      <c r="IRK1" s="68"/>
      <c r="IRL1" s="68"/>
      <c r="IRM1" s="68"/>
      <c r="IRN1" s="68"/>
      <c r="IRO1" s="68"/>
      <c r="IRP1" s="68"/>
      <c r="IRQ1" s="68"/>
      <c r="IRR1" s="68"/>
      <c r="IRS1" s="68"/>
      <c r="IRT1" s="68"/>
      <c r="IRU1" s="68"/>
      <c r="IRV1" s="68"/>
      <c r="IRW1" s="68"/>
      <c r="IRX1" s="68"/>
      <c r="IRY1" s="68"/>
      <c r="IRZ1" s="68"/>
      <c r="ISA1" s="68"/>
      <c r="ISB1" s="68"/>
      <c r="ISC1" s="68"/>
      <c r="ISD1" s="68"/>
      <c r="ISE1" s="68"/>
      <c r="ISF1" s="68"/>
      <c r="ISG1" s="68"/>
      <c r="ISH1" s="68"/>
      <c r="ISI1" s="68"/>
      <c r="ISJ1" s="68"/>
      <c r="ISK1" s="68"/>
      <c r="ISL1" s="68"/>
      <c r="ISM1" s="68"/>
      <c r="ISN1" s="68"/>
      <c r="ISO1" s="68"/>
      <c r="ISP1" s="68"/>
      <c r="ISQ1" s="68"/>
      <c r="ISR1" s="68"/>
      <c r="ISS1" s="68"/>
      <c r="IST1" s="68"/>
      <c r="ISU1" s="68"/>
      <c r="ISV1" s="68"/>
      <c r="ISW1" s="68"/>
      <c r="ISX1" s="68"/>
      <c r="ISY1" s="68"/>
      <c r="ISZ1" s="68"/>
      <c r="ITA1" s="68"/>
      <c r="ITB1" s="68"/>
      <c r="ITC1" s="68"/>
      <c r="ITD1" s="68"/>
      <c r="ITE1" s="68"/>
      <c r="ITF1" s="68"/>
      <c r="ITG1" s="68"/>
      <c r="ITH1" s="68"/>
      <c r="ITI1" s="68"/>
      <c r="ITJ1" s="68"/>
      <c r="ITK1" s="68"/>
      <c r="ITL1" s="68"/>
      <c r="ITM1" s="68"/>
      <c r="ITN1" s="68"/>
      <c r="ITO1" s="68"/>
      <c r="ITP1" s="68"/>
      <c r="ITQ1" s="68"/>
      <c r="ITR1" s="68"/>
      <c r="ITS1" s="68"/>
      <c r="ITT1" s="68"/>
      <c r="ITU1" s="68"/>
      <c r="ITV1" s="68"/>
      <c r="ITW1" s="68"/>
      <c r="ITX1" s="68"/>
      <c r="ITY1" s="68"/>
      <c r="ITZ1" s="68"/>
      <c r="IUA1" s="68"/>
      <c r="IUB1" s="68"/>
      <c r="IUC1" s="68"/>
      <c r="IUD1" s="68"/>
      <c r="IUE1" s="68"/>
      <c r="IUF1" s="68"/>
      <c r="IUG1" s="68"/>
      <c r="IUH1" s="68"/>
      <c r="IUI1" s="68"/>
      <c r="IUJ1" s="68"/>
      <c r="IUK1" s="68"/>
      <c r="IUL1" s="68"/>
      <c r="IUM1" s="68"/>
      <c r="IUN1" s="68"/>
      <c r="IUO1" s="68"/>
      <c r="IUP1" s="68"/>
      <c r="IUQ1" s="68"/>
      <c r="IUR1" s="68"/>
      <c r="IUS1" s="68"/>
      <c r="IUT1" s="68"/>
      <c r="IUU1" s="68"/>
      <c r="IUV1" s="68"/>
      <c r="IUW1" s="68"/>
      <c r="IUX1" s="68"/>
      <c r="IUY1" s="68"/>
      <c r="IUZ1" s="68"/>
      <c r="IVA1" s="68"/>
      <c r="IVB1" s="68"/>
      <c r="IVC1" s="68"/>
      <c r="IVD1" s="68"/>
      <c r="IVE1" s="68"/>
      <c r="IVF1" s="68"/>
      <c r="IVG1" s="68"/>
      <c r="IVH1" s="68"/>
      <c r="IVI1" s="68"/>
      <c r="IVJ1" s="68"/>
      <c r="IVK1" s="68"/>
      <c r="IVL1" s="68"/>
      <c r="IVM1" s="68"/>
      <c r="IVN1" s="68"/>
      <c r="IVO1" s="68"/>
      <c r="IVP1" s="68"/>
      <c r="IVQ1" s="68"/>
      <c r="IVR1" s="68"/>
      <c r="IVS1" s="68"/>
      <c r="IVT1" s="68"/>
      <c r="IVU1" s="68"/>
      <c r="IVV1" s="68"/>
      <c r="IVW1" s="68"/>
      <c r="IVX1" s="68"/>
      <c r="IVY1" s="68"/>
      <c r="IVZ1" s="68"/>
      <c r="IWA1" s="68"/>
      <c r="IWB1" s="68"/>
      <c r="IWC1" s="68"/>
      <c r="IWD1" s="68"/>
      <c r="IWE1" s="68"/>
      <c r="IWF1" s="68"/>
      <c r="IWG1" s="68"/>
      <c r="IWH1" s="68"/>
      <c r="IWI1" s="68"/>
      <c r="IWJ1" s="68"/>
      <c r="IWK1" s="68"/>
      <c r="IWL1" s="68"/>
      <c r="IWM1" s="68"/>
      <c r="IWN1" s="68"/>
      <c r="IWO1" s="68"/>
      <c r="IWP1" s="68"/>
      <c r="IWQ1" s="68"/>
      <c r="IWR1" s="68"/>
      <c r="IWS1" s="68"/>
      <c r="IWT1" s="68"/>
      <c r="IWU1" s="68"/>
      <c r="IWV1" s="68"/>
      <c r="IWW1" s="68"/>
      <c r="IWX1" s="68"/>
      <c r="IWY1" s="68"/>
      <c r="IWZ1" s="68"/>
      <c r="IXA1" s="68"/>
      <c r="IXB1" s="68"/>
      <c r="IXC1" s="68"/>
      <c r="IXD1" s="68"/>
      <c r="IXE1" s="68"/>
      <c r="IXF1" s="68"/>
      <c r="IXG1" s="68"/>
      <c r="IXH1" s="68"/>
      <c r="IXI1" s="68"/>
      <c r="IXJ1" s="68"/>
      <c r="IXK1" s="68"/>
      <c r="IXL1" s="68"/>
      <c r="IXM1" s="68"/>
      <c r="IXN1" s="68"/>
      <c r="IXO1" s="68"/>
      <c r="IXP1" s="68"/>
      <c r="IXQ1" s="68"/>
      <c r="IXR1" s="68"/>
      <c r="IXS1" s="68"/>
      <c r="IXT1" s="68"/>
      <c r="IXU1" s="68"/>
      <c r="IXV1" s="68"/>
      <c r="IXW1" s="68"/>
      <c r="IXX1" s="68"/>
      <c r="IXY1" s="68"/>
      <c r="IXZ1" s="68"/>
      <c r="IYA1" s="68"/>
      <c r="IYB1" s="68"/>
      <c r="IYC1" s="68"/>
      <c r="IYD1" s="68"/>
      <c r="IYE1" s="68"/>
      <c r="IYF1" s="68"/>
      <c r="IYG1" s="68"/>
      <c r="IYH1" s="68"/>
      <c r="IYI1" s="68"/>
      <c r="IYJ1" s="68"/>
      <c r="IYK1" s="68"/>
      <c r="IYL1" s="68"/>
      <c r="IYM1" s="68"/>
      <c r="IYN1" s="68"/>
      <c r="IYO1" s="68"/>
      <c r="IYP1" s="68"/>
      <c r="IYQ1" s="68"/>
      <c r="IYR1" s="68"/>
      <c r="IYS1" s="68"/>
      <c r="IYT1" s="68"/>
      <c r="IYU1" s="68"/>
      <c r="IYV1" s="68"/>
      <c r="IYW1" s="68"/>
      <c r="IYX1" s="68"/>
      <c r="IYY1" s="68"/>
      <c r="IYZ1" s="68"/>
      <c r="IZA1" s="68"/>
      <c r="IZB1" s="68"/>
      <c r="IZC1" s="68"/>
      <c r="IZD1" s="68"/>
      <c r="IZE1" s="68"/>
      <c r="IZF1" s="68"/>
      <c r="IZG1" s="68"/>
      <c r="IZH1" s="68"/>
      <c r="IZI1" s="68"/>
      <c r="IZJ1" s="68"/>
      <c r="IZK1" s="68"/>
      <c r="IZL1" s="68"/>
      <c r="IZM1" s="68"/>
      <c r="IZN1" s="68"/>
      <c r="IZO1" s="68"/>
      <c r="IZP1" s="68"/>
      <c r="IZQ1" s="68"/>
      <c r="IZR1" s="68"/>
      <c r="IZS1" s="68"/>
      <c r="IZT1" s="68"/>
      <c r="IZU1" s="68"/>
      <c r="IZV1" s="68"/>
      <c r="IZW1" s="68"/>
      <c r="IZX1" s="68"/>
      <c r="IZY1" s="68"/>
      <c r="IZZ1" s="68"/>
      <c r="JAA1" s="68"/>
      <c r="JAB1" s="68"/>
      <c r="JAC1" s="68"/>
      <c r="JAD1" s="68"/>
      <c r="JAE1" s="68"/>
      <c r="JAF1" s="68"/>
      <c r="JAG1" s="68"/>
      <c r="JAH1" s="68"/>
      <c r="JAI1" s="68"/>
      <c r="JAJ1" s="68"/>
      <c r="JAK1" s="68"/>
      <c r="JAL1" s="68"/>
      <c r="JAM1" s="68"/>
      <c r="JAN1" s="68"/>
      <c r="JAO1" s="68"/>
      <c r="JAP1" s="68"/>
      <c r="JAQ1" s="68"/>
      <c r="JAR1" s="68"/>
      <c r="JAS1" s="68"/>
      <c r="JAT1" s="68"/>
      <c r="JAU1" s="68"/>
      <c r="JAV1" s="68"/>
      <c r="JAW1" s="68"/>
      <c r="JAX1" s="68"/>
      <c r="JAY1" s="68"/>
      <c r="JAZ1" s="68"/>
      <c r="JBA1" s="68"/>
      <c r="JBB1" s="68"/>
      <c r="JBC1" s="68"/>
      <c r="JBD1" s="68"/>
      <c r="JBE1" s="68"/>
      <c r="JBF1" s="68"/>
      <c r="JBG1" s="68"/>
      <c r="JBH1" s="68"/>
      <c r="JBI1" s="68"/>
      <c r="JBJ1" s="68"/>
      <c r="JBK1" s="68"/>
      <c r="JBL1" s="68"/>
      <c r="JBM1" s="68"/>
      <c r="JBN1" s="68"/>
      <c r="JBO1" s="68"/>
      <c r="JBP1" s="68"/>
      <c r="JBQ1" s="68"/>
      <c r="JBR1" s="68"/>
      <c r="JBS1" s="68"/>
      <c r="JBT1" s="68"/>
      <c r="JBU1" s="68"/>
      <c r="JBV1" s="68"/>
      <c r="JBW1" s="68"/>
      <c r="JBX1" s="68"/>
      <c r="JBY1" s="68"/>
      <c r="JBZ1" s="68"/>
      <c r="JCA1" s="68"/>
      <c r="JCB1" s="68"/>
      <c r="JCC1" s="68"/>
      <c r="JCD1" s="68"/>
      <c r="JCE1" s="68"/>
      <c r="JCF1" s="68"/>
      <c r="JCG1" s="68"/>
      <c r="JCH1" s="68"/>
      <c r="JCI1" s="68"/>
      <c r="JCJ1" s="68"/>
      <c r="JCK1" s="68"/>
      <c r="JCL1" s="68"/>
      <c r="JCM1" s="68"/>
      <c r="JCN1" s="68"/>
      <c r="JCO1" s="68"/>
      <c r="JCP1" s="68"/>
      <c r="JCQ1" s="68"/>
      <c r="JCR1" s="68"/>
      <c r="JCS1" s="68"/>
      <c r="JCT1" s="68"/>
      <c r="JCU1" s="68"/>
      <c r="JCV1" s="68"/>
      <c r="JCW1" s="68"/>
      <c r="JCX1" s="68"/>
      <c r="JCY1" s="68"/>
      <c r="JCZ1" s="68"/>
      <c r="JDA1" s="68"/>
      <c r="JDB1" s="68"/>
      <c r="JDC1" s="68"/>
      <c r="JDD1" s="68"/>
      <c r="JDE1" s="68"/>
      <c r="JDF1" s="68"/>
      <c r="JDG1" s="68"/>
      <c r="JDH1" s="68"/>
      <c r="JDI1" s="68"/>
      <c r="JDJ1" s="68"/>
      <c r="JDK1" s="68"/>
      <c r="JDL1" s="68"/>
      <c r="JDM1" s="68"/>
      <c r="JDN1" s="68"/>
      <c r="JDO1" s="68"/>
      <c r="JDP1" s="68"/>
      <c r="JDQ1" s="68"/>
      <c r="JDR1" s="68"/>
      <c r="JDS1" s="68"/>
      <c r="JDT1" s="68"/>
      <c r="JDU1" s="68"/>
      <c r="JDV1" s="68"/>
      <c r="JDW1" s="68"/>
      <c r="JDX1" s="68"/>
      <c r="JDY1" s="68"/>
      <c r="JDZ1" s="68"/>
      <c r="JEA1" s="68"/>
      <c r="JEB1" s="68"/>
      <c r="JEC1" s="68"/>
      <c r="JED1" s="68"/>
      <c r="JEE1" s="68"/>
      <c r="JEF1" s="68"/>
      <c r="JEG1" s="68"/>
      <c r="JEH1" s="68"/>
      <c r="JEI1" s="68"/>
      <c r="JEJ1" s="68"/>
      <c r="JEK1" s="68"/>
      <c r="JEL1" s="68"/>
      <c r="JEM1" s="68"/>
      <c r="JEN1" s="68"/>
      <c r="JEO1" s="68"/>
      <c r="JEP1" s="68"/>
      <c r="JEQ1" s="68"/>
      <c r="JER1" s="68"/>
      <c r="JES1" s="68"/>
      <c r="JET1" s="68"/>
      <c r="JEU1" s="68"/>
      <c r="JEV1" s="68"/>
      <c r="JEW1" s="68"/>
      <c r="JEX1" s="68"/>
      <c r="JEY1" s="68"/>
      <c r="JEZ1" s="68"/>
      <c r="JFA1" s="68"/>
      <c r="JFB1" s="68"/>
      <c r="JFC1" s="68"/>
      <c r="JFD1" s="68"/>
      <c r="JFE1" s="68"/>
      <c r="JFF1" s="68"/>
      <c r="JFG1" s="68"/>
      <c r="JFH1" s="68"/>
      <c r="JFI1" s="68"/>
      <c r="JFJ1" s="68"/>
      <c r="JFK1" s="68"/>
      <c r="JFL1" s="68"/>
      <c r="JFM1" s="68"/>
      <c r="JFN1" s="68"/>
      <c r="JFO1" s="68"/>
      <c r="JFP1" s="68"/>
      <c r="JFQ1" s="68"/>
      <c r="JFR1" s="68"/>
      <c r="JFS1" s="68"/>
      <c r="JFT1" s="68"/>
      <c r="JFU1" s="68"/>
      <c r="JFV1" s="68"/>
      <c r="JFW1" s="68"/>
      <c r="JFX1" s="68"/>
      <c r="JFY1" s="68"/>
      <c r="JFZ1" s="68"/>
      <c r="JGA1" s="68"/>
      <c r="JGB1" s="68"/>
      <c r="JGC1" s="68"/>
      <c r="JGD1" s="68"/>
      <c r="JGE1" s="68"/>
      <c r="JGF1" s="68"/>
      <c r="JGG1" s="68"/>
      <c r="JGH1" s="68"/>
      <c r="JGI1" s="68"/>
      <c r="JGJ1" s="68"/>
      <c r="JGK1" s="68"/>
      <c r="JGL1" s="68"/>
      <c r="JGM1" s="68"/>
      <c r="JGN1" s="68"/>
      <c r="JGO1" s="68"/>
      <c r="JGP1" s="68"/>
      <c r="JGQ1" s="68"/>
      <c r="JGR1" s="68"/>
      <c r="JGS1" s="68"/>
      <c r="JGT1" s="68"/>
      <c r="JGU1" s="68"/>
      <c r="JGV1" s="68"/>
      <c r="JGW1" s="68"/>
      <c r="JGX1" s="68"/>
      <c r="JGY1" s="68"/>
      <c r="JGZ1" s="68"/>
      <c r="JHA1" s="68"/>
      <c r="JHB1" s="68"/>
      <c r="JHC1" s="68"/>
      <c r="JHD1" s="68"/>
      <c r="JHE1" s="68"/>
      <c r="JHF1" s="68"/>
      <c r="JHG1" s="68"/>
      <c r="JHH1" s="68"/>
      <c r="JHI1" s="68"/>
      <c r="JHJ1" s="68"/>
      <c r="JHK1" s="68"/>
      <c r="JHL1" s="68"/>
      <c r="JHM1" s="68"/>
      <c r="JHN1" s="68"/>
      <c r="JHO1" s="68"/>
      <c r="JHP1" s="68"/>
      <c r="JHQ1" s="68"/>
      <c r="JHR1" s="68"/>
      <c r="JHS1" s="68"/>
      <c r="JHT1" s="68"/>
      <c r="JHU1" s="68"/>
      <c r="JHV1" s="68"/>
      <c r="JHW1" s="68"/>
      <c r="JHX1" s="68"/>
      <c r="JHY1" s="68"/>
      <c r="JHZ1" s="68"/>
      <c r="JIA1" s="68"/>
      <c r="JIB1" s="68"/>
      <c r="JIC1" s="68"/>
      <c r="JID1" s="68"/>
      <c r="JIE1" s="68"/>
      <c r="JIF1" s="68"/>
      <c r="JIG1" s="68"/>
      <c r="JIH1" s="68"/>
      <c r="JII1" s="68"/>
      <c r="JIJ1" s="68"/>
      <c r="JIK1" s="68"/>
      <c r="JIL1" s="68"/>
      <c r="JIM1" s="68"/>
      <c r="JIN1" s="68"/>
      <c r="JIO1" s="68"/>
      <c r="JIP1" s="68"/>
      <c r="JIQ1" s="68"/>
      <c r="JIR1" s="68"/>
      <c r="JIS1" s="68"/>
      <c r="JIT1" s="68"/>
      <c r="JIU1" s="68"/>
      <c r="JIV1" s="68"/>
      <c r="JIW1" s="68"/>
      <c r="JIX1" s="68"/>
      <c r="JIY1" s="68"/>
      <c r="JIZ1" s="68"/>
      <c r="JJA1" s="68"/>
      <c r="JJB1" s="68"/>
      <c r="JJC1" s="68"/>
      <c r="JJD1" s="68"/>
      <c r="JJE1" s="68"/>
      <c r="JJF1" s="68"/>
      <c r="JJG1" s="68"/>
      <c r="JJH1" s="68"/>
      <c r="JJI1" s="68"/>
      <c r="JJJ1" s="68"/>
      <c r="JJK1" s="68"/>
      <c r="JJL1" s="68"/>
      <c r="JJM1" s="68"/>
      <c r="JJN1" s="68"/>
      <c r="JJO1" s="68"/>
      <c r="JJP1" s="68"/>
      <c r="JJQ1" s="68"/>
      <c r="JJR1" s="68"/>
      <c r="JJS1" s="68"/>
      <c r="JJT1" s="68"/>
      <c r="JJU1" s="68"/>
      <c r="JJV1" s="68"/>
      <c r="JJW1" s="68"/>
      <c r="JJX1" s="68"/>
      <c r="JJY1" s="68"/>
      <c r="JJZ1" s="68"/>
      <c r="JKA1" s="68"/>
      <c r="JKB1" s="68"/>
      <c r="JKC1" s="68"/>
      <c r="JKD1" s="68"/>
      <c r="JKE1" s="68"/>
      <c r="JKF1" s="68"/>
      <c r="JKG1" s="68"/>
      <c r="JKH1" s="68"/>
      <c r="JKI1" s="68"/>
      <c r="JKJ1" s="68"/>
      <c r="JKK1" s="68"/>
      <c r="JKL1" s="68"/>
      <c r="JKM1" s="68"/>
      <c r="JKN1" s="68"/>
      <c r="JKO1" s="68"/>
      <c r="JKP1" s="68"/>
      <c r="JKQ1" s="68"/>
      <c r="JKR1" s="68"/>
      <c r="JKS1" s="68"/>
      <c r="JKT1" s="68"/>
      <c r="JKU1" s="68"/>
      <c r="JKV1" s="68"/>
      <c r="JKW1" s="68"/>
      <c r="JKX1" s="68"/>
      <c r="JKY1" s="68"/>
      <c r="JKZ1" s="68"/>
      <c r="JLA1" s="68"/>
      <c r="JLB1" s="68"/>
      <c r="JLC1" s="68"/>
      <c r="JLD1" s="68"/>
      <c r="JLE1" s="68"/>
      <c r="JLF1" s="68"/>
      <c r="JLG1" s="68"/>
      <c r="JLH1" s="68"/>
      <c r="JLI1" s="68"/>
      <c r="JLJ1" s="68"/>
      <c r="JLK1" s="68"/>
      <c r="JLL1" s="68"/>
      <c r="JLM1" s="68"/>
      <c r="JLN1" s="68"/>
      <c r="JLO1" s="68"/>
      <c r="JLP1" s="68"/>
      <c r="JLQ1" s="68"/>
      <c r="JLR1" s="68"/>
      <c r="JLS1" s="68"/>
      <c r="JLT1" s="68"/>
      <c r="JLU1" s="68"/>
      <c r="JLV1" s="68"/>
      <c r="JLW1" s="68"/>
      <c r="JLX1" s="68"/>
      <c r="JLY1" s="68"/>
      <c r="JLZ1" s="68"/>
      <c r="JMA1" s="68"/>
      <c r="JMB1" s="68"/>
      <c r="JMC1" s="68"/>
      <c r="JMD1" s="68"/>
      <c r="JME1" s="68"/>
      <c r="JMF1" s="68"/>
      <c r="JMG1" s="68"/>
      <c r="JMH1" s="68"/>
      <c r="JMI1" s="68"/>
      <c r="JMJ1" s="68"/>
      <c r="JMK1" s="68"/>
      <c r="JML1" s="68"/>
      <c r="JMM1" s="68"/>
      <c r="JMN1" s="68"/>
      <c r="JMO1" s="68"/>
      <c r="JMP1" s="68"/>
      <c r="JMQ1" s="68"/>
      <c r="JMR1" s="68"/>
      <c r="JMS1" s="68"/>
      <c r="JMT1" s="68"/>
      <c r="JMU1" s="68"/>
      <c r="JMV1" s="68"/>
      <c r="JMW1" s="68"/>
      <c r="JMX1" s="68"/>
      <c r="JMY1" s="68"/>
      <c r="JMZ1" s="68"/>
      <c r="JNA1" s="68"/>
      <c r="JNB1" s="68"/>
      <c r="JNC1" s="68"/>
      <c r="JND1" s="68"/>
      <c r="JNE1" s="68"/>
      <c r="JNF1" s="68"/>
      <c r="JNG1" s="68"/>
      <c r="JNH1" s="68"/>
      <c r="JNI1" s="68"/>
      <c r="JNJ1" s="68"/>
      <c r="JNK1" s="68"/>
      <c r="JNL1" s="68"/>
      <c r="JNM1" s="68"/>
      <c r="JNN1" s="68"/>
      <c r="JNO1" s="68"/>
      <c r="JNP1" s="68"/>
      <c r="JNQ1" s="68"/>
      <c r="JNR1" s="68"/>
      <c r="JNS1" s="68"/>
      <c r="JNT1" s="68"/>
      <c r="JNU1" s="68"/>
      <c r="JNV1" s="68"/>
      <c r="JNW1" s="68"/>
      <c r="JNX1" s="68"/>
      <c r="JNY1" s="68"/>
      <c r="JNZ1" s="68"/>
      <c r="JOA1" s="68"/>
      <c r="JOB1" s="68"/>
      <c r="JOC1" s="68"/>
      <c r="JOD1" s="68"/>
      <c r="JOE1" s="68"/>
      <c r="JOF1" s="68"/>
      <c r="JOG1" s="68"/>
      <c r="JOH1" s="68"/>
      <c r="JOI1" s="68"/>
      <c r="JOJ1" s="68"/>
      <c r="JOK1" s="68"/>
      <c r="JOL1" s="68"/>
      <c r="JOM1" s="68"/>
      <c r="JON1" s="68"/>
      <c r="JOO1" s="68"/>
      <c r="JOP1" s="68"/>
      <c r="JOQ1" s="68"/>
      <c r="JOR1" s="68"/>
      <c r="JOS1" s="68"/>
      <c r="JOT1" s="68"/>
      <c r="JOU1" s="68"/>
      <c r="JOV1" s="68"/>
      <c r="JOW1" s="68"/>
      <c r="JOX1" s="68"/>
      <c r="JOY1" s="68"/>
      <c r="JOZ1" s="68"/>
      <c r="JPA1" s="68"/>
      <c r="JPB1" s="68"/>
      <c r="JPC1" s="68"/>
      <c r="JPD1" s="68"/>
      <c r="JPE1" s="68"/>
      <c r="JPF1" s="68"/>
      <c r="JPG1" s="68"/>
      <c r="JPH1" s="68"/>
      <c r="JPI1" s="68"/>
      <c r="JPJ1" s="68"/>
      <c r="JPK1" s="68"/>
      <c r="JPL1" s="68"/>
      <c r="JPM1" s="68"/>
      <c r="JPN1" s="68"/>
      <c r="JPO1" s="68"/>
      <c r="JPP1" s="68"/>
      <c r="JPQ1" s="68"/>
      <c r="JPR1" s="68"/>
      <c r="JPS1" s="68"/>
      <c r="JPT1" s="68"/>
      <c r="JPU1" s="68"/>
      <c r="JPV1" s="68"/>
      <c r="JPW1" s="68"/>
      <c r="JPX1" s="68"/>
      <c r="JPY1" s="68"/>
      <c r="JPZ1" s="68"/>
      <c r="JQA1" s="68"/>
      <c r="JQB1" s="68"/>
      <c r="JQC1" s="68"/>
      <c r="JQD1" s="68"/>
      <c r="JQE1" s="68"/>
      <c r="JQF1" s="68"/>
      <c r="JQG1" s="68"/>
      <c r="JQH1" s="68"/>
      <c r="JQI1" s="68"/>
      <c r="JQJ1" s="68"/>
      <c r="JQK1" s="68"/>
      <c r="JQL1" s="68"/>
      <c r="JQM1" s="68"/>
      <c r="JQN1" s="68"/>
      <c r="JQO1" s="68"/>
      <c r="JQP1" s="68"/>
      <c r="JQQ1" s="68"/>
      <c r="JQR1" s="68"/>
      <c r="JQS1" s="68"/>
      <c r="JQT1" s="68"/>
      <c r="JQU1" s="68"/>
      <c r="JQV1" s="68"/>
      <c r="JQW1" s="68"/>
      <c r="JQX1" s="68"/>
      <c r="JQY1" s="68"/>
      <c r="JQZ1" s="68"/>
      <c r="JRA1" s="68"/>
      <c r="JRB1" s="68"/>
      <c r="JRC1" s="68"/>
      <c r="JRD1" s="68"/>
      <c r="JRE1" s="68"/>
      <c r="JRF1" s="68"/>
      <c r="JRG1" s="68"/>
      <c r="JRH1" s="68"/>
      <c r="JRI1" s="68"/>
      <c r="JRJ1" s="68"/>
      <c r="JRK1" s="68"/>
      <c r="JRL1" s="68"/>
      <c r="JRM1" s="68"/>
      <c r="JRN1" s="68"/>
      <c r="JRO1" s="68"/>
      <c r="JRP1" s="68"/>
      <c r="JRQ1" s="68"/>
      <c r="JRR1" s="68"/>
      <c r="JRS1" s="68"/>
      <c r="JRT1" s="68"/>
      <c r="JRU1" s="68"/>
      <c r="JRV1" s="68"/>
      <c r="JRW1" s="68"/>
      <c r="JRX1" s="68"/>
      <c r="JRY1" s="68"/>
      <c r="JRZ1" s="68"/>
      <c r="JSA1" s="68"/>
      <c r="JSB1" s="68"/>
      <c r="JSC1" s="68"/>
      <c r="JSD1" s="68"/>
      <c r="JSE1" s="68"/>
      <c r="JSF1" s="68"/>
      <c r="JSG1" s="68"/>
      <c r="JSH1" s="68"/>
      <c r="JSI1" s="68"/>
      <c r="JSJ1" s="68"/>
      <c r="JSK1" s="68"/>
      <c r="JSL1" s="68"/>
      <c r="JSM1" s="68"/>
      <c r="JSN1" s="68"/>
      <c r="JSO1" s="68"/>
      <c r="JSP1" s="68"/>
      <c r="JSQ1" s="68"/>
      <c r="JSR1" s="68"/>
      <c r="JSS1" s="68"/>
      <c r="JST1" s="68"/>
      <c r="JSU1" s="68"/>
      <c r="JSV1" s="68"/>
      <c r="JSW1" s="68"/>
      <c r="JSX1" s="68"/>
      <c r="JSY1" s="68"/>
      <c r="JSZ1" s="68"/>
      <c r="JTA1" s="68"/>
      <c r="JTB1" s="68"/>
      <c r="JTC1" s="68"/>
      <c r="JTD1" s="68"/>
      <c r="JTE1" s="68"/>
      <c r="JTF1" s="68"/>
      <c r="JTG1" s="68"/>
      <c r="JTH1" s="68"/>
      <c r="JTI1" s="68"/>
      <c r="JTJ1" s="68"/>
      <c r="JTK1" s="68"/>
      <c r="JTL1" s="68"/>
      <c r="JTM1" s="68"/>
      <c r="JTN1" s="68"/>
      <c r="JTO1" s="68"/>
      <c r="JTP1" s="68"/>
      <c r="JTQ1" s="68"/>
      <c r="JTR1" s="68"/>
      <c r="JTS1" s="68"/>
      <c r="JTT1" s="68"/>
      <c r="JTU1" s="68"/>
      <c r="JTV1" s="68"/>
      <c r="JTW1" s="68"/>
      <c r="JTX1" s="68"/>
      <c r="JTY1" s="68"/>
      <c r="JTZ1" s="68"/>
      <c r="JUA1" s="68"/>
      <c r="JUB1" s="68"/>
      <c r="JUC1" s="68"/>
      <c r="JUD1" s="68"/>
      <c r="JUE1" s="68"/>
      <c r="JUF1" s="68"/>
      <c r="JUG1" s="68"/>
      <c r="JUH1" s="68"/>
      <c r="JUI1" s="68"/>
      <c r="JUJ1" s="68"/>
      <c r="JUK1" s="68"/>
      <c r="JUL1" s="68"/>
      <c r="JUM1" s="68"/>
      <c r="JUN1" s="68"/>
      <c r="JUO1" s="68"/>
      <c r="JUP1" s="68"/>
      <c r="JUQ1" s="68"/>
      <c r="JUR1" s="68"/>
      <c r="JUS1" s="68"/>
      <c r="JUT1" s="68"/>
      <c r="JUU1" s="68"/>
      <c r="JUV1" s="68"/>
      <c r="JUW1" s="68"/>
      <c r="JUX1" s="68"/>
      <c r="JUY1" s="68"/>
      <c r="JUZ1" s="68"/>
      <c r="JVA1" s="68"/>
      <c r="JVB1" s="68"/>
      <c r="JVC1" s="68"/>
      <c r="JVD1" s="68"/>
      <c r="JVE1" s="68"/>
      <c r="JVF1" s="68"/>
      <c r="JVG1" s="68"/>
      <c r="JVH1" s="68"/>
      <c r="JVI1" s="68"/>
      <c r="JVJ1" s="68"/>
      <c r="JVK1" s="68"/>
      <c r="JVL1" s="68"/>
      <c r="JVM1" s="68"/>
      <c r="JVN1" s="68"/>
      <c r="JVO1" s="68"/>
      <c r="JVP1" s="68"/>
      <c r="JVQ1" s="68"/>
      <c r="JVR1" s="68"/>
      <c r="JVS1" s="68"/>
      <c r="JVT1" s="68"/>
      <c r="JVU1" s="68"/>
      <c r="JVV1" s="68"/>
      <c r="JVW1" s="68"/>
      <c r="JVX1" s="68"/>
      <c r="JVY1" s="68"/>
      <c r="JVZ1" s="68"/>
      <c r="JWA1" s="68"/>
      <c r="JWB1" s="68"/>
      <c r="JWC1" s="68"/>
      <c r="JWD1" s="68"/>
      <c r="JWE1" s="68"/>
      <c r="JWF1" s="68"/>
      <c r="JWG1" s="68"/>
      <c r="JWH1" s="68"/>
      <c r="JWI1" s="68"/>
      <c r="JWJ1" s="68"/>
      <c r="JWK1" s="68"/>
      <c r="JWL1" s="68"/>
      <c r="JWM1" s="68"/>
      <c r="JWN1" s="68"/>
      <c r="JWO1" s="68"/>
      <c r="JWP1" s="68"/>
      <c r="JWQ1" s="68"/>
      <c r="JWR1" s="68"/>
      <c r="JWS1" s="68"/>
      <c r="JWT1" s="68"/>
      <c r="JWU1" s="68"/>
      <c r="JWV1" s="68"/>
      <c r="JWW1" s="68"/>
      <c r="JWX1" s="68"/>
      <c r="JWY1" s="68"/>
      <c r="JWZ1" s="68"/>
      <c r="JXA1" s="68"/>
      <c r="JXB1" s="68"/>
      <c r="JXC1" s="68"/>
      <c r="JXD1" s="68"/>
      <c r="JXE1" s="68"/>
      <c r="JXF1" s="68"/>
      <c r="JXG1" s="68"/>
      <c r="JXH1" s="68"/>
      <c r="JXI1" s="68"/>
      <c r="JXJ1" s="68"/>
      <c r="JXK1" s="68"/>
      <c r="JXL1" s="68"/>
      <c r="JXM1" s="68"/>
      <c r="JXN1" s="68"/>
      <c r="JXO1" s="68"/>
      <c r="JXP1" s="68"/>
      <c r="JXQ1" s="68"/>
      <c r="JXR1" s="68"/>
      <c r="JXS1" s="68"/>
      <c r="JXT1" s="68"/>
      <c r="JXU1" s="68"/>
      <c r="JXV1" s="68"/>
      <c r="JXW1" s="68"/>
      <c r="JXX1" s="68"/>
      <c r="JXY1" s="68"/>
      <c r="JXZ1" s="68"/>
      <c r="JYA1" s="68"/>
      <c r="JYB1" s="68"/>
      <c r="JYC1" s="68"/>
      <c r="JYD1" s="68"/>
      <c r="JYE1" s="68"/>
      <c r="JYF1" s="68"/>
      <c r="JYG1" s="68"/>
      <c r="JYH1" s="68"/>
      <c r="JYI1" s="68"/>
      <c r="JYJ1" s="68"/>
      <c r="JYK1" s="68"/>
      <c r="JYL1" s="68"/>
      <c r="JYM1" s="68"/>
      <c r="JYN1" s="68"/>
      <c r="JYO1" s="68"/>
      <c r="JYP1" s="68"/>
      <c r="JYQ1" s="68"/>
      <c r="JYR1" s="68"/>
      <c r="JYS1" s="68"/>
      <c r="JYT1" s="68"/>
      <c r="JYU1" s="68"/>
      <c r="JYV1" s="68"/>
      <c r="JYW1" s="68"/>
      <c r="JYX1" s="68"/>
      <c r="JYY1" s="68"/>
      <c r="JYZ1" s="68"/>
      <c r="JZA1" s="68"/>
      <c r="JZB1" s="68"/>
      <c r="JZC1" s="68"/>
      <c r="JZD1" s="68"/>
      <c r="JZE1" s="68"/>
      <c r="JZF1" s="68"/>
      <c r="JZG1" s="68"/>
      <c r="JZH1" s="68"/>
      <c r="JZI1" s="68"/>
      <c r="JZJ1" s="68"/>
      <c r="JZK1" s="68"/>
      <c r="JZL1" s="68"/>
      <c r="JZM1" s="68"/>
      <c r="JZN1" s="68"/>
      <c r="JZO1" s="68"/>
      <c r="JZP1" s="68"/>
      <c r="JZQ1" s="68"/>
      <c r="JZR1" s="68"/>
      <c r="JZS1" s="68"/>
      <c r="JZT1" s="68"/>
      <c r="JZU1" s="68"/>
      <c r="JZV1" s="68"/>
      <c r="JZW1" s="68"/>
      <c r="JZX1" s="68"/>
      <c r="JZY1" s="68"/>
      <c r="JZZ1" s="68"/>
      <c r="KAA1" s="68"/>
      <c r="KAB1" s="68"/>
      <c r="KAC1" s="68"/>
      <c r="KAD1" s="68"/>
      <c r="KAE1" s="68"/>
      <c r="KAF1" s="68"/>
      <c r="KAG1" s="68"/>
      <c r="KAH1" s="68"/>
      <c r="KAI1" s="68"/>
      <c r="KAJ1" s="68"/>
      <c r="KAK1" s="68"/>
      <c r="KAL1" s="68"/>
      <c r="KAM1" s="68"/>
      <c r="KAN1" s="68"/>
      <c r="KAO1" s="68"/>
      <c r="KAP1" s="68"/>
      <c r="KAQ1" s="68"/>
      <c r="KAR1" s="68"/>
      <c r="KAS1" s="68"/>
      <c r="KAT1" s="68"/>
      <c r="KAU1" s="68"/>
      <c r="KAV1" s="68"/>
      <c r="KAW1" s="68"/>
      <c r="KAX1" s="68"/>
      <c r="KAY1" s="68"/>
      <c r="KAZ1" s="68"/>
      <c r="KBA1" s="68"/>
      <c r="KBB1" s="68"/>
      <c r="KBC1" s="68"/>
      <c r="KBD1" s="68"/>
      <c r="KBE1" s="68"/>
      <c r="KBF1" s="68"/>
      <c r="KBG1" s="68"/>
      <c r="KBH1" s="68"/>
      <c r="KBI1" s="68"/>
      <c r="KBJ1" s="68"/>
      <c r="KBK1" s="68"/>
      <c r="KBL1" s="68"/>
      <c r="KBM1" s="68"/>
      <c r="KBN1" s="68"/>
      <c r="KBO1" s="68"/>
      <c r="KBP1" s="68"/>
      <c r="KBQ1" s="68"/>
      <c r="KBR1" s="68"/>
      <c r="KBS1" s="68"/>
      <c r="KBT1" s="68"/>
      <c r="KBU1" s="68"/>
      <c r="KBV1" s="68"/>
      <c r="KBW1" s="68"/>
      <c r="KBX1" s="68"/>
      <c r="KBY1" s="68"/>
      <c r="KBZ1" s="68"/>
      <c r="KCA1" s="68"/>
      <c r="KCB1" s="68"/>
      <c r="KCC1" s="68"/>
      <c r="KCD1" s="68"/>
      <c r="KCE1" s="68"/>
      <c r="KCF1" s="68"/>
      <c r="KCG1" s="68"/>
      <c r="KCH1" s="68"/>
      <c r="KCI1" s="68"/>
      <c r="KCJ1" s="68"/>
      <c r="KCK1" s="68"/>
      <c r="KCL1" s="68"/>
      <c r="KCM1" s="68"/>
      <c r="KCN1" s="68"/>
      <c r="KCO1" s="68"/>
      <c r="KCP1" s="68"/>
      <c r="KCQ1" s="68"/>
      <c r="KCR1" s="68"/>
      <c r="KCS1" s="68"/>
      <c r="KCT1" s="68"/>
      <c r="KCU1" s="68"/>
      <c r="KCV1" s="68"/>
      <c r="KCW1" s="68"/>
      <c r="KCX1" s="68"/>
      <c r="KCY1" s="68"/>
      <c r="KCZ1" s="68"/>
      <c r="KDA1" s="68"/>
      <c r="KDB1" s="68"/>
      <c r="KDC1" s="68"/>
      <c r="KDD1" s="68"/>
      <c r="KDE1" s="68"/>
      <c r="KDF1" s="68"/>
      <c r="KDG1" s="68"/>
      <c r="KDH1" s="68"/>
      <c r="KDI1" s="68"/>
      <c r="KDJ1" s="68"/>
      <c r="KDK1" s="68"/>
      <c r="KDL1" s="68"/>
      <c r="KDM1" s="68"/>
      <c r="KDN1" s="68"/>
      <c r="KDO1" s="68"/>
      <c r="KDP1" s="68"/>
      <c r="KDQ1" s="68"/>
      <c r="KDR1" s="68"/>
      <c r="KDS1" s="68"/>
      <c r="KDT1" s="68"/>
      <c r="KDU1" s="68"/>
      <c r="KDV1" s="68"/>
      <c r="KDW1" s="68"/>
      <c r="KDX1" s="68"/>
      <c r="KDY1" s="68"/>
      <c r="KDZ1" s="68"/>
      <c r="KEA1" s="68"/>
      <c r="KEB1" s="68"/>
      <c r="KEC1" s="68"/>
      <c r="KED1" s="68"/>
      <c r="KEE1" s="68"/>
      <c r="KEF1" s="68"/>
      <c r="KEG1" s="68"/>
      <c r="KEH1" s="68"/>
      <c r="KEI1" s="68"/>
      <c r="KEJ1" s="68"/>
      <c r="KEK1" s="68"/>
      <c r="KEL1" s="68"/>
      <c r="KEM1" s="68"/>
      <c r="KEN1" s="68"/>
      <c r="KEO1" s="68"/>
      <c r="KEP1" s="68"/>
      <c r="KEQ1" s="68"/>
      <c r="KER1" s="68"/>
      <c r="KES1" s="68"/>
      <c r="KET1" s="68"/>
      <c r="KEU1" s="68"/>
      <c r="KEV1" s="68"/>
      <c r="KEW1" s="68"/>
      <c r="KEX1" s="68"/>
      <c r="KEY1" s="68"/>
      <c r="KEZ1" s="68"/>
      <c r="KFA1" s="68"/>
      <c r="KFB1" s="68"/>
      <c r="KFC1" s="68"/>
      <c r="KFD1" s="68"/>
      <c r="KFE1" s="68"/>
      <c r="KFF1" s="68"/>
      <c r="KFG1" s="68"/>
      <c r="KFH1" s="68"/>
      <c r="KFI1" s="68"/>
      <c r="KFJ1" s="68"/>
      <c r="KFK1" s="68"/>
      <c r="KFL1" s="68"/>
      <c r="KFM1" s="68"/>
      <c r="KFN1" s="68"/>
      <c r="KFO1" s="68"/>
      <c r="KFP1" s="68"/>
      <c r="KFQ1" s="68"/>
      <c r="KFR1" s="68"/>
      <c r="KFS1" s="68"/>
      <c r="KFT1" s="68"/>
      <c r="KFU1" s="68"/>
      <c r="KFV1" s="68"/>
      <c r="KFW1" s="68"/>
      <c r="KFX1" s="68"/>
      <c r="KFY1" s="68"/>
      <c r="KFZ1" s="68"/>
      <c r="KGA1" s="68"/>
      <c r="KGB1" s="68"/>
      <c r="KGC1" s="68"/>
      <c r="KGD1" s="68"/>
      <c r="KGE1" s="68"/>
      <c r="KGF1" s="68"/>
      <c r="KGG1" s="68"/>
      <c r="KGH1" s="68"/>
      <c r="KGI1" s="68"/>
      <c r="KGJ1" s="68"/>
      <c r="KGK1" s="68"/>
      <c r="KGL1" s="68"/>
      <c r="KGM1" s="68"/>
      <c r="KGN1" s="68"/>
      <c r="KGO1" s="68"/>
      <c r="KGP1" s="68"/>
      <c r="KGQ1" s="68"/>
      <c r="KGR1" s="68"/>
      <c r="KGS1" s="68"/>
      <c r="KGT1" s="68"/>
      <c r="KGU1" s="68"/>
      <c r="KGV1" s="68"/>
      <c r="KGW1" s="68"/>
      <c r="KGX1" s="68"/>
      <c r="KGY1" s="68"/>
      <c r="KGZ1" s="68"/>
      <c r="KHA1" s="68"/>
      <c r="KHB1" s="68"/>
      <c r="KHC1" s="68"/>
      <c r="KHD1" s="68"/>
      <c r="KHE1" s="68"/>
      <c r="KHF1" s="68"/>
      <c r="KHG1" s="68"/>
      <c r="KHH1" s="68"/>
      <c r="KHI1" s="68"/>
      <c r="KHJ1" s="68"/>
      <c r="KHK1" s="68"/>
      <c r="KHL1" s="68"/>
      <c r="KHM1" s="68"/>
      <c r="KHN1" s="68"/>
      <c r="KHO1" s="68"/>
      <c r="KHP1" s="68"/>
      <c r="KHQ1" s="68"/>
      <c r="KHR1" s="68"/>
      <c r="KHS1" s="68"/>
      <c r="KHT1" s="68"/>
      <c r="KHU1" s="68"/>
      <c r="KHV1" s="68"/>
      <c r="KHW1" s="68"/>
      <c r="KHX1" s="68"/>
      <c r="KHY1" s="68"/>
      <c r="KHZ1" s="68"/>
      <c r="KIA1" s="68"/>
      <c r="KIB1" s="68"/>
      <c r="KIC1" s="68"/>
      <c r="KID1" s="68"/>
      <c r="KIE1" s="68"/>
      <c r="KIF1" s="68"/>
      <c r="KIG1" s="68"/>
      <c r="KIH1" s="68"/>
      <c r="KII1" s="68"/>
      <c r="KIJ1" s="68"/>
      <c r="KIK1" s="68"/>
      <c r="KIL1" s="68"/>
      <c r="KIM1" s="68"/>
      <c r="KIN1" s="68"/>
      <c r="KIO1" s="68"/>
      <c r="KIP1" s="68"/>
      <c r="KIQ1" s="68"/>
      <c r="KIR1" s="68"/>
      <c r="KIS1" s="68"/>
      <c r="KIT1" s="68"/>
      <c r="KIU1" s="68"/>
      <c r="KIV1" s="68"/>
      <c r="KIW1" s="68"/>
      <c r="KIX1" s="68"/>
      <c r="KIY1" s="68"/>
      <c r="KIZ1" s="68"/>
      <c r="KJA1" s="68"/>
      <c r="KJB1" s="68"/>
      <c r="KJC1" s="68"/>
      <c r="KJD1" s="68"/>
      <c r="KJE1" s="68"/>
      <c r="KJF1" s="68"/>
      <c r="KJG1" s="68"/>
      <c r="KJH1" s="68"/>
      <c r="KJI1" s="68"/>
      <c r="KJJ1" s="68"/>
      <c r="KJK1" s="68"/>
      <c r="KJL1" s="68"/>
      <c r="KJM1" s="68"/>
      <c r="KJN1" s="68"/>
      <c r="KJO1" s="68"/>
      <c r="KJP1" s="68"/>
      <c r="KJQ1" s="68"/>
      <c r="KJR1" s="68"/>
      <c r="KJS1" s="68"/>
      <c r="KJT1" s="68"/>
      <c r="KJU1" s="68"/>
      <c r="KJV1" s="68"/>
      <c r="KJW1" s="68"/>
      <c r="KJX1" s="68"/>
      <c r="KJY1" s="68"/>
      <c r="KJZ1" s="68"/>
      <c r="KKA1" s="68"/>
      <c r="KKB1" s="68"/>
      <c r="KKC1" s="68"/>
      <c r="KKD1" s="68"/>
      <c r="KKE1" s="68"/>
      <c r="KKF1" s="68"/>
      <c r="KKG1" s="68"/>
      <c r="KKH1" s="68"/>
      <c r="KKI1" s="68"/>
      <c r="KKJ1" s="68"/>
      <c r="KKK1" s="68"/>
      <c r="KKL1" s="68"/>
      <c r="KKM1" s="68"/>
      <c r="KKN1" s="68"/>
      <c r="KKO1" s="68"/>
      <c r="KKP1" s="68"/>
      <c r="KKQ1" s="68"/>
      <c r="KKR1" s="68"/>
      <c r="KKS1" s="68"/>
      <c r="KKT1" s="68"/>
      <c r="KKU1" s="68"/>
      <c r="KKV1" s="68"/>
      <c r="KKW1" s="68"/>
      <c r="KKX1" s="68"/>
      <c r="KKY1" s="68"/>
      <c r="KKZ1" s="68"/>
      <c r="KLA1" s="68"/>
      <c r="KLB1" s="68"/>
      <c r="KLC1" s="68"/>
      <c r="KLD1" s="68"/>
      <c r="KLE1" s="68"/>
      <c r="KLF1" s="68"/>
      <c r="KLG1" s="68"/>
      <c r="KLH1" s="68"/>
      <c r="KLI1" s="68"/>
      <c r="KLJ1" s="68"/>
      <c r="KLK1" s="68"/>
      <c r="KLL1" s="68"/>
      <c r="KLM1" s="68"/>
      <c r="KLN1" s="68"/>
      <c r="KLO1" s="68"/>
      <c r="KLP1" s="68"/>
      <c r="KLQ1" s="68"/>
      <c r="KLR1" s="68"/>
      <c r="KLS1" s="68"/>
      <c r="KLT1" s="68"/>
      <c r="KLU1" s="68"/>
      <c r="KLV1" s="68"/>
      <c r="KLW1" s="68"/>
      <c r="KLX1" s="68"/>
      <c r="KLY1" s="68"/>
      <c r="KLZ1" s="68"/>
      <c r="KMA1" s="68"/>
      <c r="KMB1" s="68"/>
      <c r="KMC1" s="68"/>
      <c r="KMD1" s="68"/>
      <c r="KME1" s="68"/>
      <c r="KMF1" s="68"/>
      <c r="KMG1" s="68"/>
      <c r="KMH1" s="68"/>
      <c r="KMI1" s="68"/>
      <c r="KMJ1" s="68"/>
      <c r="KMK1" s="68"/>
      <c r="KML1" s="68"/>
      <c r="KMM1" s="68"/>
      <c r="KMN1" s="68"/>
      <c r="KMO1" s="68"/>
      <c r="KMP1" s="68"/>
      <c r="KMQ1" s="68"/>
      <c r="KMR1" s="68"/>
      <c r="KMS1" s="68"/>
      <c r="KMT1" s="68"/>
      <c r="KMU1" s="68"/>
      <c r="KMV1" s="68"/>
      <c r="KMW1" s="68"/>
      <c r="KMX1" s="68"/>
      <c r="KMY1" s="68"/>
      <c r="KMZ1" s="68"/>
      <c r="KNA1" s="68"/>
      <c r="KNB1" s="68"/>
      <c r="KNC1" s="68"/>
      <c r="KND1" s="68"/>
      <c r="KNE1" s="68"/>
      <c r="KNF1" s="68"/>
      <c r="KNG1" s="68"/>
      <c r="KNH1" s="68"/>
      <c r="KNI1" s="68"/>
      <c r="KNJ1" s="68"/>
      <c r="KNK1" s="68"/>
      <c r="KNL1" s="68"/>
      <c r="KNM1" s="68"/>
      <c r="KNN1" s="68"/>
      <c r="KNO1" s="68"/>
      <c r="KNP1" s="68"/>
      <c r="KNQ1" s="68"/>
      <c r="KNR1" s="68"/>
      <c r="KNS1" s="68"/>
      <c r="KNT1" s="68"/>
      <c r="KNU1" s="68"/>
      <c r="KNV1" s="68"/>
      <c r="KNW1" s="68"/>
      <c r="KNX1" s="68"/>
      <c r="KNY1" s="68"/>
      <c r="KNZ1" s="68"/>
      <c r="KOA1" s="68"/>
      <c r="KOB1" s="68"/>
      <c r="KOC1" s="68"/>
      <c r="KOD1" s="68"/>
      <c r="KOE1" s="68"/>
      <c r="KOF1" s="68"/>
      <c r="KOG1" s="68"/>
      <c r="KOH1" s="68"/>
      <c r="KOI1" s="68"/>
      <c r="KOJ1" s="68"/>
      <c r="KOK1" s="68"/>
      <c r="KOL1" s="68"/>
      <c r="KOM1" s="68"/>
      <c r="KON1" s="68"/>
      <c r="KOO1" s="68"/>
      <c r="KOP1" s="68"/>
      <c r="KOQ1" s="68"/>
      <c r="KOR1" s="68"/>
      <c r="KOS1" s="68"/>
      <c r="KOT1" s="68"/>
      <c r="KOU1" s="68"/>
      <c r="KOV1" s="68"/>
      <c r="KOW1" s="68"/>
      <c r="KOX1" s="68"/>
      <c r="KOY1" s="68"/>
      <c r="KOZ1" s="68"/>
      <c r="KPA1" s="68"/>
      <c r="KPB1" s="68"/>
      <c r="KPC1" s="68"/>
      <c r="KPD1" s="68"/>
      <c r="KPE1" s="68"/>
      <c r="KPF1" s="68"/>
      <c r="KPG1" s="68"/>
      <c r="KPH1" s="68"/>
      <c r="KPI1" s="68"/>
      <c r="KPJ1" s="68"/>
      <c r="KPK1" s="68"/>
      <c r="KPL1" s="68"/>
      <c r="KPM1" s="68"/>
      <c r="KPN1" s="68"/>
      <c r="KPO1" s="68"/>
      <c r="KPP1" s="68"/>
      <c r="KPQ1" s="68"/>
      <c r="KPR1" s="68"/>
      <c r="KPS1" s="68"/>
      <c r="KPT1" s="68"/>
      <c r="KPU1" s="68"/>
      <c r="KPV1" s="68"/>
      <c r="KPW1" s="68"/>
      <c r="KPX1" s="68"/>
      <c r="KPY1" s="68"/>
      <c r="KPZ1" s="68"/>
      <c r="KQA1" s="68"/>
      <c r="KQB1" s="68"/>
      <c r="KQC1" s="68"/>
      <c r="KQD1" s="68"/>
      <c r="KQE1" s="68"/>
      <c r="KQF1" s="68"/>
      <c r="KQG1" s="68"/>
      <c r="KQH1" s="68"/>
      <c r="KQI1" s="68"/>
      <c r="KQJ1" s="68"/>
      <c r="KQK1" s="68"/>
      <c r="KQL1" s="68"/>
      <c r="KQM1" s="68"/>
      <c r="KQN1" s="68"/>
      <c r="KQO1" s="68"/>
      <c r="KQP1" s="68"/>
      <c r="KQQ1" s="68"/>
      <c r="KQR1" s="68"/>
      <c r="KQS1" s="68"/>
      <c r="KQT1" s="68"/>
      <c r="KQU1" s="68"/>
      <c r="KQV1" s="68"/>
      <c r="KQW1" s="68"/>
      <c r="KQX1" s="68"/>
      <c r="KQY1" s="68"/>
      <c r="KQZ1" s="68"/>
      <c r="KRA1" s="68"/>
      <c r="KRB1" s="68"/>
      <c r="KRC1" s="68"/>
      <c r="KRD1" s="68"/>
      <c r="KRE1" s="68"/>
      <c r="KRF1" s="68"/>
      <c r="KRG1" s="68"/>
      <c r="KRH1" s="68"/>
      <c r="KRI1" s="68"/>
      <c r="KRJ1" s="68"/>
      <c r="KRK1" s="68"/>
      <c r="KRL1" s="68"/>
      <c r="KRM1" s="68"/>
      <c r="KRN1" s="68"/>
      <c r="KRO1" s="68"/>
      <c r="KRP1" s="68"/>
      <c r="KRQ1" s="68"/>
      <c r="KRR1" s="68"/>
      <c r="KRS1" s="68"/>
      <c r="KRT1" s="68"/>
      <c r="KRU1" s="68"/>
      <c r="KRV1" s="68"/>
      <c r="KRW1" s="68"/>
      <c r="KRX1" s="68"/>
      <c r="KRY1" s="68"/>
      <c r="KRZ1" s="68"/>
      <c r="KSA1" s="68"/>
      <c r="KSB1" s="68"/>
      <c r="KSC1" s="68"/>
      <c r="KSD1" s="68"/>
      <c r="KSE1" s="68"/>
      <c r="KSF1" s="68"/>
      <c r="KSG1" s="68"/>
      <c r="KSH1" s="68"/>
      <c r="KSI1" s="68"/>
      <c r="KSJ1" s="68"/>
      <c r="KSK1" s="68"/>
      <c r="KSL1" s="68"/>
      <c r="KSM1" s="68"/>
      <c r="KSN1" s="68"/>
      <c r="KSO1" s="68"/>
      <c r="KSP1" s="68"/>
      <c r="KSQ1" s="68"/>
      <c r="KSR1" s="68"/>
      <c r="KSS1" s="68"/>
      <c r="KST1" s="68"/>
      <c r="KSU1" s="68"/>
      <c r="KSV1" s="68"/>
      <c r="KSW1" s="68"/>
      <c r="KSX1" s="68"/>
      <c r="KSY1" s="68"/>
      <c r="KSZ1" s="68"/>
      <c r="KTA1" s="68"/>
      <c r="KTB1" s="68"/>
      <c r="KTC1" s="68"/>
      <c r="KTD1" s="68"/>
      <c r="KTE1" s="68"/>
      <c r="KTF1" s="68"/>
      <c r="KTG1" s="68"/>
      <c r="KTH1" s="68"/>
      <c r="KTI1" s="68"/>
      <c r="KTJ1" s="68"/>
      <c r="KTK1" s="68"/>
      <c r="KTL1" s="68"/>
      <c r="KTM1" s="68"/>
      <c r="KTN1" s="68"/>
      <c r="KTO1" s="68"/>
      <c r="KTP1" s="68"/>
      <c r="KTQ1" s="68"/>
      <c r="KTR1" s="68"/>
      <c r="KTS1" s="68"/>
      <c r="KTT1" s="68"/>
      <c r="KTU1" s="68"/>
      <c r="KTV1" s="68"/>
      <c r="KTW1" s="68"/>
      <c r="KTX1" s="68"/>
      <c r="KTY1" s="68"/>
      <c r="KTZ1" s="68"/>
      <c r="KUA1" s="68"/>
      <c r="KUB1" s="68"/>
      <c r="KUC1" s="68"/>
      <c r="KUD1" s="68"/>
      <c r="KUE1" s="68"/>
      <c r="KUF1" s="68"/>
      <c r="KUG1" s="68"/>
      <c r="KUH1" s="68"/>
      <c r="KUI1" s="68"/>
      <c r="KUJ1" s="68"/>
      <c r="KUK1" s="68"/>
      <c r="KUL1" s="68"/>
      <c r="KUM1" s="68"/>
      <c r="KUN1" s="68"/>
      <c r="KUO1" s="68"/>
      <c r="KUP1" s="68"/>
      <c r="KUQ1" s="68"/>
      <c r="KUR1" s="68"/>
      <c r="KUS1" s="68"/>
      <c r="KUT1" s="68"/>
      <c r="KUU1" s="68"/>
      <c r="KUV1" s="68"/>
      <c r="KUW1" s="68"/>
      <c r="KUX1" s="68"/>
      <c r="KUY1" s="68"/>
      <c r="KUZ1" s="68"/>
      <c r="KVA1" s="68"/>
      <c r="KVB1" s="68"/>
      <c r="KVC1" s="68"/>
      <c r="KVD1" s="68"/>
      <c r="KVE1" s="68"/>
      <c r="KVF1" s="68"/>
      <c r="KVG1" s="68"/>
      <c r="KVH1" s="68"/>
      <c r="KVI1" s="68"/>
      <c r="KVJ1" s="68"/>
      <c r="KVK1" s="68"/>
      <c r="KVL1" s="68"/>
      <c r="KVM1" s="68"/>
      <c r="KVN1" s="68"/>
      <c r="KVO1" s="68"/>
      <c r="KVP1" s="68"/>
      <c r="KVQ1" s="68"/>
      <c r="KVR1" s="68"/>
      <c r="KVS1" s="68"/>
      <c r="KVT1" s="68"/>
      <c r="KVU1" s="68"/>
      <c r="KVV1" s="68"/>
      <c r="KVW1" s="68"/>
      <c r="KVX1" s="68"/>
      <c r="KVY1" s="68"/>
      <c r="KVZ1" s="68"/>
      <c r="KWA1" s="68"/>
      <c r="KWB1" s="68"/>
      <c r="KWC1" s="68"/>
      <c r="KWD1" s="68"/>
      <c r="KWE1" s="68"/>
      <c r="KWF1" s="68"/>
      <c r="KWG1" s="68"/>
      <c r="KWH1" s="68"/>
      <c r="KWI1" s="68"/>
      <c r="KWJ1" s="68"/>
      <c r="KWK1" s="68"/>
      <c r="KWL1" s="68"/>
      <c r="KWM1" s="68"/>
      <c r="KWN1" s="68"/>
      <c r="KWO1" s="68"/>
      <c r="KWP1" s="68"/>
      <c r="KWQ1" s="68"/>
      <c r="KWR1" s="68"/>
      <c r="KWS1" s="68"/>
      <c r="KWT1" s="68"/>
      <c r="KWU1" s="68"/>
      <c r="KWV1" s="68"/>
      <c r="KWW1" s="68"/>
      <c r="KWX1" s="68"/>
      <c r="KWY1" s="68"/>
      <c r="KWZ1" s="68"/>
      <c r="KXA1" s="68"/>
      <c r="KXB1" s="68"/>
      <c r="KXC1" s="68"/>
      <c r="KXD1" s="68"/>
      <c r="KXE1" s="68"/>
      <c r="KXF1" s="68"/>
      <c r="KXG1" s="68"/>
      <c r="KXH1" s="68"/>
      <c r="KXI1" s="68"/>
      <c r="KXJ1" s="68"/>
      <c r="KXK1" s="68"/>
      <c r="KXL1" s="68"/>
      <c r="KXM1" s="68"/>
      <c r="KXN1" s="68"/>
      <c r="KXO1" s="68"/>
      <c r="KXP1" s="68"/>
      <c r="KXQ1" s="68"/>
      <c r="KXR1" s="68"/>
      <c r="KXS1" s="68"/>
      <c r="KXT1" s="68"/>
      <c r="KXU1" s="68"/>
      <c r="KXV1" s="68"/>
      <c r="KXW1" s="68"/>
      <c r="KXX1" s="68"/>
      <c r="KXY1" s="68"/>
      <c r="KXZ1" s="68"/>
      <c r="KYA1" s="68"/>
      <c r="KYB1" s="68"/>
      <c r="KYC1" s="68"/>
      <c r="KYD1" s="68"/>
      <c r="KYE1" s="68"/>
      <c r="KYF1" s="68"/>
      <c r="KYG1" s="68"/>
      <c r="KYH1" s="68"/>
      <c r="KYI1" s="68"/>
      <c r="KYJ1" s="68"/>
      <c r="KYK1" s="68"/>
      <c r="KYL1" s="68"/>
      <c r="KYM1" s="68"/>
      <c r="KYN1" s="68"/>
      <c r="KYO1" s="68"/>
      <c r="KYP1" s="68"/>
      <c r="KYQ1" s="68"/>
      <c r="KYR1" s="68"/>
      <c r="KYS1" s="68"/>
      <c r="KYT1" s="68"/>
      <c r="KYU1" s="68"/>
      <c r="KYV1" s="68"/>
      <c r="KYW1" s="68"/>
      <c r="KYX1" s="68"/>
      <c r="KYY1" s="68"/>
      <c r="KYZ1" s="68"/>
      <c r="KZA1" s="68"/>
      <c r="KZB1" s="68"/>
      <c r="KZC1" s="68"/>
      <c r="KZD1" s="68"/>
      <c r="KZE1" s="68"/>
      <c r="KZF1" s="68"/>
      <c r="KZG1" s="68"/>
      <c r="KZH1" s="68"/>
      <c r="KZI1" s="68"/>
      <c r="KZJ1" s="68"/>
      <c r="KZK1" s="68"/>
      <c r="KZL1" s="68"/>
      <c r="KZM1" s="68"/>
      <c r="KZN1" s="68"/>
      <c r="KZO1" s="68"/>
      <c r="KZP1" s="68"/>
      <c r="KZQ1" s="68"/>
      <c r="KZR1" s="68"/>
      <c r="KZS1" s="68"/>
      <c r="KZT1" s="68"/>
      <c r="KZU1" s="68"/>
      <c r="KZV1" s="68"/>
      <c r="KZW1" s="68"/>
      <c r="KZX1" s="68"/>
      <c r="KZY1" s="68"/>
      <c r="KZZ1" s="68"/>
      <c r="LAA1" s="68"/>
      <c r="LAB1" s="68"/>
      <c r="LAC1" s="68"/>
      <c r="LAD1" s="68"/>
      <c r="LAE1" s="68"/>
      <c r="LAF1" s="68"/>
      <c r="LAG1" s="68"/>
      <c r="LAH1" s="68"/>
      <c r="LAI1" s="68"/>
      <c r="LAJ1" s="68"/>
      <c r="LAK1" s="68"/>
      <c r="LAL1" s="68"/>
      <c r="LAM1" s="68"/>
      <c r="LAN1" s="68"/>
      <c r="LAO1" s="68"/>
      <c r="LAP1" s="68"/>
      <c r="LAQ1" s="68"/>
      <c r="LAR1" s="68"/>
      <c r="LAS1" s="68"/>
      <c r="LAT1" s="68"/>
      <c r="LAU1" s="68"/>
      <c r="LAV1" s="68"/>
      <c r="LAW1" s="68"/>
      <c r="LAX1" s="68"/>
      <c r="LAY1" s="68"/>
      <c r="LAZ1" s="68"/>
      <c r="LBA1" s="68"/>
      <c r="LBB1" s="68"/>
      <c r="LBC1" s="68"/>
      <c r="LBD1" s="68"/>
      <c r="LBE1" s="68"/>
      <c r="LBF1" s="68"/>
      <c r="LBG1" s="68"/>
      <c r="LBH1" s="68"/>
      <c r="LBI1" s="68"/>
      <c r="LBJ1" s="68"/>
      <c r="LBK1" s="68"/>
      <c r="LBL1" s="68"/>
      <c r="LBM1" s="68"/>
      <c r="LBN1" s="68"/>
      <c r="LBO1" s="68"/>
      <c r="LBP1" s="68"/>
      <c r="LBQ1" s="68"/>
      <c r="LBR1" s="68"/>
      <c r="LBS1" s="68"/>
      <c r="LBT1" s="68"/>
      <c r="LBU1" s="68"/>
      <c r="LBV1" s="68"/>
      <c r="LBW1" s="68"/>
      <c r="LBX1" s="68"/>
      <c r="LBY1" s="68"/>
      <c r="LBZ1" s="68"/>
      <c r="LCA1" s="68"/>
      <c r="LCB1" s="68"/>
      <c r="LCC1" s="68"/>
      <c r="LCD1" s="68"/>
      <c r="LCE1" s="68"/>
      <c r="LCF1" s="68"/>
      <c r="LCG1" s="68"/>
      <c r="LCH1" s="68"/>
      <c r="LCI1" s="68"/>
      <c r="LCJ1" s="68"/>
      <c r="LCK1" s="68"/>
      <c r="LCL1" s="68"/>
      <c r="LCM1" s="68"/>
      <c r="LCN1" s="68"/>
      <c r="LCO1" s="68"/>
      <c r="LCP1" s="68"/>
      <c r="LCQ1" s="68"/>
      <c r="LCR1" s="68"/>
      <c r="LCS1" s="68"/>
      <c r="LCT1" s="68"/>
      <c r="LCU1" s="68"/>
      <c r="LCV1" s="68"/>
      <c r="LCW1" s="68"/>
      <c r="LCX1" s="68"/>
      <c r="LCY1" s="68"/>
      <c r="LCZ1" s="68"/>
      <c r="LDA1" s="68"/>
      <c r="LDB1" s="68"/>
      <c r="LDC1" s="68"/>
      <c r="LDD1" s="68"/>
      <c r="LDE1" s="68"/>
      <c r="LDF1" s="68"/>
      <c r="LDG1" s="68"/>
      <c r="LDH1" s="68"/>
      <c r="LDI1" s="68"/>
      <c r="LDJ1" s="68"/>
      <c r="LDK1" s="68"/>
      <c r="LDL1" s="68"/>
      <c r="LDM1" s="68"/>
      <c r="LDN1" s="68"/>
      <c r="LDO1" s="68"/>
      <c r="LDP1" s="68"/>
      <c r="LDQ1" s="68"/>
      <c r="LDR1" s="68"/>
      <c r="LDS1" s="68"/>
      <c r="LDT1" s="68"/>
      <c r="LDU1" s="68"/>
      <c r="LDV1" s="68"/>
      <c r="LDW1" s="68"/>
      <c r="LDX1" s="68"/>
      <c r="LDY1" s="68"/>
      <c r="LDZ1" s="68"/>
      <c r="LEA1" s="68"/>
      <c r="LEB1" s="68"/>
      <c r="LEC1" s="68"/>
      <c r="LED1" s="68"/>
      <c r="LEE1" s="68"/>
      <c r="LEF1" s="68"/>
      <c r="LEG1" s="68"/>
      <c r="LEH1" s="68"/>
      <c r="LEI1" s="68"/>
      <c r="LEJ1" s="68"/>
      <c r="LEK1" s="68"/>
      <c r="LEL1" s="68"/>
      <c r="LEM1" s="68"/>
      <c r="LEN1" s="68"/>
      <c r="LEO1" s="68"/>
      <c r="LEP1" s="68"/>
      <c r="LEQ1" s="68"/>
      <c r="LER1" s="68"/>
      <c r="LES1" s="68"/>
      <c r="LET1" s="68"/>
      <c r="LEU1" s="68"/>
      <c r="LEV1" s="68"/>
      <c r="LEW1" s="68"/>
      <c r="LEX1" s="68"/>
      <c r="LEY1" s="68"/>
      <c r="LEZ1" s="68"/>
      <c r="LFA1" s="68"/>
      <c r="LFB1" s="68"/>
      <c r="LFC1" s="68"/>
      <c r="LFD1" s="68"/>
      <c r="LFE1" s="68"/>
      <c r="LFF1" s="68"/>
      <c r="LFG1" s="68"/>
      <c r="LFH1" s="68"/>
      <c r="LFI1" s="68"/>
      <c r="LFJ1" s="68"/>
      <c r="LFK1" s="68"/>
      <c r="LFL1" s="68"/>
      <c r="LFM1" s="68"/>
      <c r="LFN1" s="68"/>
      <c r="LFO1" s="68"/>
      <c r="LFP1" s="68"/>
      <c r="LFQ1" s="68"/>
      <c r="LFR1" s="68"/>
      <c r="LFS1" s="68"/>
      <c r="LFT1" s="68"/>
      <c r="LFU1" s="68"/>
      <c r="LFV1" s="68"/>
      <c r="LFW1" s="68"/>
      <c r="LFX1" s="68"/>
      <c r="LFY1" s="68"/>
      <c r="LFZ1" s="68"/>
      <c r="LGA1" s="68"/>
      <c r="LGB1" s="68"/>
      <c r="LGC1" s="68"/>
      <c r="LGD1" s="68"/>
      <c r="LGE1" s="68"/>
      <c r="LGF1" s="68"/>
      <c r="LGG1" s="68"/>
      <c r="LGH1" s="68"/>
      <c r="LGI1" s="68"/>
      <c r="LGJ1" s="68"/>
      <c r="LGK1" s="68"/>
      <c r="LGL1" s="68"/>
      <c r="LGM1" s="68"/>
      <c r="LGN1" s="68"/>
      <c r="LGO1" s="68"/>
      <c r="LGP1" s="68"/>
      <c r="LGQ1" s="68"/>
      <c r="LGR1" s="68"/>
      <c r="LGS1" s="68"/>
      <c r="LGT1" s="68"/>
      <c r="LGU1" s="68"/>
      <c r="LGV1" s="68"/>
      <c r="LGW1" s="68"/>
      <c r="LGX1" s="68"/>
      <c r="LGY1" s="68"/>
      <c r="LGZ1" s="68"/>
      <c r="LHA1" s="68"/>
      <c r="LHB1" s="68"/>
      <c r="LHC1" s="68"/>
      <c r="LHD1" s="68"/>
      <c r="LHE1" s="68"/>
      <c r="LHF1" s="68"/>
      <c r="LHG1" s="68"/>
      <c r="LHH1" s="68"/>
      <c r="LHI1" s="68"/>
      <c r="LHJ1" s="68"/>
      <c r="LHK1" s="68"/>
      <c r="LHL1" s="68"/>
      <c r="LHM1" s="68"/>
      <c r="LHN1" s="68"/>
      <c r="LHO1" s="68"/>
      <c r="LHP1" s="68"/>
      <c r="LHQ1" s="68"/>
      <c r="LHR1" s="68"/>
      <c r="LHS1" s="68"/>
      <c r="LHT1" s="68"/>
      <c r="LHU1" s="68"/>
      <c r="LHV1" s="68"/>
      <c r="LHW1" s="68"/>
      <c r="LHX1" s="68"/>
      <c r="LHY1" s="68"/>
      <c r="LHZ1" s="68"/>
      <c r="LIA1" s="68"/>
      <c r="LIB1" s="68"/>
      <c r="LIC1" s="68"/>
      <c r="LID1" s="68"/>
      <c r="LIE1" s="68"/>
      <c r="LIF1" s="68"/>
      <c r="LIG1" s="68"/>
      <c r="LIH1" s="68"/>
      <c r="LII1" s="68"/>
      <c r="LIJ1" s="68"/>
      <c r="LIK1" s="68"/>
      <c r="LIL1" s="68"/>
      <c r="LIM1" s="68"/>
      <c r="LIN1" s="68"/>
      <c r="LIO1" s="68"/>
      <c r="LIP1" s="68"/>
      <c r="LIQ1" s="68"/>
      <c r="LIR1" s="68"/>
      <c r="LIS1" s="68"/>
      <c r="LIT1" s="68"/>
      <c r="LIU1" s="68"/>
      <c r="LIV1" s="68"/>
      <c r="LIW1" s="68"/>
      <c r="LIX1" s="68"/>
      <c r="LIY1" s="68"/>
      <c r="LIZ1" s="68"/>
      <c r="LJA1" s="68"/>
      <c r="LJB1" s="68"/>
      <c r="LJC1" s="68"/>
      <c r="LJD1" s="68"/>
      <c r="LJE1" s="68"/>
      <c r="LJF1" s="68"/>
      <c r="LJG1" s="68"/>
      <c r="LJH1" s="68"/>
      <c r="LJI1" s="68"/>
      <c r="LJJ1" s="68"/>
      <c r="LJK1" s="68"/>
      <c r="LJL1" s="68"/>
      <c r="LJM1" s="68"/>
      <c r="LJN1" s="68"/>
      <c r="LJO1" s="68"/>
      <c r="LJP1" s="68"/>
      <c r="LJQ1" s="68"/>
      <c r="LJR1" s="68"/>
      <c r="LJS1" s="68"/>
      <c r="LJT1" s="68"/>
      <c r="LJU1" s="68"/>
      <c r="LJV1" s="68"/>
      <c r="LJW1" s="68"/>
      <c r="LJX1" s="68"/>
      <c r="LJY1" s="68"/>
      <c r="LJZ1" s="68"/>
      <c r="LKA1" s="68"/>
      <c r="LKB1" s="68"/>
      <c r="LKC1" s="68"/>
      <c r="LKD1" s="68"/>
      <c r="LKE1" s="68"/>
      <c r="LKF1" s="68"/>
      <c r="LKG1" s="68"/>
      <c r="LKH1" s="68"/>
      <c r="LKI1" s="68"/>
      <c r="LKJ1" s="68"/>
      <c r="LKK1" s="68"/>
      <c r="LKL1" s="68"/>
      <c r="LKM1" s="68"/>
      <c r="LKN1" s="68"/>
      <c r="LKO1" s="68"/>
      <c r="LKP1" s="68"/>
      <c r="LKQ1" s="68"/>
      <c r="LKR1" s="68"/>
      <c r="LKS1" s="68"/>
      <c r="LKT1" s="68"/>
      <c r="LKU1" s="68"/>
      <c r="LKV1" s="68"/>
      <c r="LKW1" s="68"/>
      <c r="LKX1" s="68"/>
      <c r="LKY1" s="68"/>
      <c r="LKZ1" s="68"/>
      <c r="LLA1" s="68"/>
      <c r="LLB1" s="68"/>
      <c r="LLC1" s="68"/>
      <c r="LLD1" s="68"/>
      <c r="LLE1" s="68"/>
      <c r="LLF1" s="68"/>
      <c r="LLG1" s="68"/>
      <c r="LLH1" s="68"/>
      <c r="LLI1" s="68"/>
      <c r="LLJ1" s="68"/>
      <c r="LLK1" s="68"/>
      <c r="LLL1" s="68"/>
      <c r="LLM1" s="68"/>
      <c r="LLN1" s="68"/>
      <c r="LLO1" s="68"/>
      <c r="LLP1" s="68"/>
      <c r="LLQ1" s="68"/>
      <c r="LLR1" s="68"/>
      <c r="LLS1" s="68"/>
      <c r="LLT1" s="68"/>
      <c r="LLU1" s="68"/>
      <c r="LLV1" s="68"/>
      <c r="LLW1" s="68"/>
      <c r="LLX1" s="68"/>
      <c r="LLY1" s="68"/>
      <c r="LLZ1" s="68"/>
      <c r="LMA1" s="68"/>
      <c r="LMB1" s="68"/>
      <c r="LMC1" s="68"/>
      <c r="LMD1" s="68"/>
      <c r="LME1" s="68"/>
      <c r="LMF1" s="68"/>
      <c r="LMG1" s="68"/>
      <c r="LMH1" s="68"/>
      <c r="LMI1" s="68"/>
      <c r="LMJ1" s="68"/>
      <c r="LMK1" s="68"/>
      <c r="LML1" s="68"/>
      <c r="LMM1" s="68"/>
      <c r="LMN1" s="68"/>
      <c r="LMO1" s="68"/>
      <c r="LMP1" s="68"/>
      <c r="LMQ1" s="68"/>
      <c r="LMR1" s="68"/>
      <c r="LMS1" s="68"/>
      <c r="LMT1" s="68"/>
      <c r="LMU1" s="68"/>
      <c r="LMV1" s="68"/>
      <c r="LMW1" s="68"/>
      <c r="LMX1" s="68"/>
      <c r="LMY1" s="68"/>
      <c r="LMZ1" s="68"/>
      <c r="LNA1" s="68"/>
      <c r="LNB1" s="68"/>
      <c r="LNC1" s="68"/>
      <c r="LND1" s="68"/>
      <c r="LNE1" s="68"/>
      <c r="LNF1" s="68"/>
      <c r="LNG1" s="68"/>
      <c r="LNH1" s="68"/>
      <c r="LNI1" s="68"/>
      <c r="LNJ1" s="68"/>
      <c r="LNK1" s="68"/>
      <c r="LNL1" s="68"/>
      <c r="LNM1" s="68"/>
      <c r="LNN1" s="68"/>
      <c r="LNO1" s="68"/>
      <c r="LNP1" s="68"/>
      <c r="LNQ1" s="68"/>
      <c r="LNR1" s="68"/>
      <c r="LNS1" s="68"/>
      <c r="LNT1" s="68"/>
      <c r="LNU1" s="68"/>
      <c r="LNV1" s="68"/>
      <c r="LNW1" s="68"/>
      <c r="LNX1" s="68"/>
      <c r="LNY1" s="68"/>
      <c r="LNZ1" s="68"/>
      <c r="LOA1" s="68"/>
      <c r="LOB1" s="68"/>
      <c r="LOC1" s="68"/>
      <c r="LOD1" s="68"/>
      <c r="LOE1" s="68"/>
      <c r="LOF1" s="68"/>
      <c r="LOG1" s="68"/>
      <c r="LOH1" s="68"/>
      <c r="LOI1" s="68"/>
      <c r="LOJ1" s="68"/>
      <c r="LOK1" s="68"/>
      <c r="LOL1" s="68"/>
      <c r="LOM1" s="68"/>
      <c r="LON1" s="68"/>
      <c r="LOO1" s="68"/>
      <c r="LOP1" s="68"/>
      <c r="LOQ1" s="68"/>
      <c r="LOR1" s="68"/>
      <c r="LOS1" s="68"/>
      <c r="LOT1" s="68"/>
      <c r="LOU1" s="68"/>
      <c r="LOV1" s="68"/>
      <c r="LOW1" s="68"/>
      <c r="LOX1" s="68"/>
      <c r="LOY1" s="68"/>
      <c r="LOZ1" s="68"/>
      <c r="LPA1" s="68"/>
      <c r="LPB1" s="68"/>
      <c r="LPC1" s="68"/>
      <c r="LPD1" s="68"/>
      <c r="LPE1" s="68"/>
      <c r="LPF1" s="68"/>
      <c r="LPG1" s="68"/>
      <c r="LPH1" s="68"/>
      <c r="LPI1" s="68"/>
      <c r="LPJ1" s="68"/>
      <c r="LPK1" s="68"/>
      <c r="LPL1" s="68"/>
      <c r="LPM1" s="68"/>
      <c r="LPN1" s="68"/>
      <c r="LPO1" s="68"/>
      <c r="LPP1" s="68"/>
      <c r="LPQ1" s="68"/>
      <c r="LPR1" s="68"/>
      <c r="LPS1" s="68"/>
      <c r="LPT1" s="68"/>
      <c r="LPU1" s="68"/>
      <c r="LPV1" s="68"/>
      <c r="LPW1" s="68"/>
      <c r="LPX1" s="68"/>
      <c r="LPY1" s="68"/>
      <c r="LPZ1" s="68"/>
      <c r="LQA1" s="68"/>
      <c r="LQB1" s="68"/>
      <c r="LQC1" s="68"/>
      <c r="LQD1" s="68"/>
      <c r="LQE1" s="68"/>
      <c r="LQF1" s="68"/>
      <c r="LQG1" s="68"/>
      <c r="LQH1" s="68"/>
      <c r="LQI1" s="68"/>
      <c r="LQJ1" s="68"/>
      <c r="LQK1" s="68"/>
      <c r="LQL1" s="68"/>
      <c r="LQM1" s="68"/>
      <c r="LQN1" s="68"/>
      <c r="LQO1" s="68"/>
      <c r="LQP1" s="68"/>
      <c r="LQQ1" s="68"/>
      <c r="LQR1" s="68"/>
      <c r="LQS1" s="68"/>
      <c r="LQT1" s="68"/>
      <c r="LQU1" s="68"/>
      <c r="LQV1" s="68"/>
      <c r="LQW1" s="68"/>
      <c r="LQX1" s="68"/>
      <c r="LQY1" s="68"/>
      <c r="LQZ1" s="68"/>
      <c r="LRA1" s="68"/>
      <c r="LRB1" s="68"/>
      <c r="LRC1" s="68"/>
      <c r="LRD1" s="68"/>
      <c r="LRE1" s="68"/>
      <c r="LRF1" s="68"/>
      <c r="LRG1" s="68"/>
      <c r="LRH1" s="68"/>
      <c r="LRI1" s="68"/>
      <c r="LRJ1" s="68"/>
      <c r="LRK1" s="68"/>
      <c r="LRL1" s="68"/>
      <c r="LRM1" s="68"/>
      <c r="LRN1" s="68"/>
      <c r="LRO1" s="68"/>
      <c r="LRP1" s="68"/>
      <c r="LRQ1" s="68"/>
      <c r="LRR1" s="68"/>
      <c r="LRS1" s="68"/>
      <c r="LRT1" s="68"/>
      <c r="LRU1" s="68"/>
      <c r="LRV1" s="68"/>
      <c r="LRW1" s="68"/>
      <c r="LRX1" s="68"/>
      <c r="LRY1" s="68"/>
      <c r="LRZ1" s="68"/>
      <c r="LSA1" s="68"/>
      <c r="LSB1" s="68"/>
      <c r="LSC1" s="68"/>
      <c r="LSD1" s="68"/>
      <c r="LSE1" s="68"/>
      <c r="LSF1" s="68"/>
      <c r="LSG1" s="68"/>
      <c r="LSH1" s="68"/>
      <c r="LSI1" s="68"/>
      <c r="LSJ1" s="68"/>
      <c r="LSK1" s="68"/>
      <c r="LSL1" s="68"/>
      <c r="LSM1" s="68"/>
      <c r="LSN1" s="68"/>
      <c r="LSO1" s="68"/>
      <c r="LSP1" s="68"/>
      <c r="LSQ1" s="68"/>
      <c r="LSR1" s="68"/>
      <c r="LSS1" s="68"/>
      <c r="LST1" s="68"/>
      <c r="LSU1" s="68"/>
      <c r="LSV1" s="68"/>
      <c r="LSW1" s="68"/>
      <c r="LSX1" s="68"/>
      <c r="LSY1" s="68"/>
      <c r="LSZ1" s="68"/>
      <c r="LTA1" s="68"/>
      <c r="LTB1" s="68"/>
      <c r="LTC1" s="68"/>
      <c r="LTD1" s="68"/>
      <c r="LTE1" s="68"/>
      <c r="LTF1" s="68"/>
      <c r="LTG1" s="68"/>
      <c r="LTH1" s="68"/>
      <c r="LTI1" s="68"/>
      <c r="LTJ1" s="68"/>
      <c r="LTK1" s="68"/>
      <c r="LTL1" s="68"/>
      <c r="LTM1" s="68"/>
      <c r="LTN1" s="68"/>
      <c r="LTO1" s="68"/>
      <c r="LTP1" s="68"/>
      <c r="LTQ1" s="68"/>
      <c r="LTR1" s="68"/>
      <c r="LTS1" s="68"/>
      <c r="LTT1" s="68"/>
      <c r="LTU1" s="68"/>
      <c r="LTV1" s="68"/>
      <c r="LTW1" s="68"/>
      <c r="LTX1" s="68"/>
      <c r="LTY1" s="68"/>
      <c r="LTZ1" s="68"/>
      <c r="LUA1" s="68"/>
      <c r="LUB1" s="68"/>
      <c r="LUC1" s="68"/>
      <c r="LUD1" s="68"/>
      <c r="LUE1" s="68"/>
      <c r="LUF1" s="68"/>
      <c r="LUG1" s="68"/>
      <c r="LUH1" s="68"/>
      <c r="LUI1" s="68"/>
      <c r="LUJ1" s="68"/>
      <c r="LUK1" s="68"/>
      <c r="LUL1" s="68"/>
      <c r="LUM1" s="68"/>
      <c r="LUN1" s="68"/>
      <c r="LUO1" s="68"/>
      <c r="LUP1" s="68"/>
      <c r="LUQ1" s="68"/>
      <c r="LUR1" s="68"/>
      <c r="LUS1" s="68"/>
      <c r="LUT1" s="68"/>
      <c r="LUU1" s="68"/>
      <c r="LUV1" s="68"/>
      <c r="LUW1" s="68"/>
      <c r="LUX1" s="68"/>
      <c r="LUY1" s="68"/>
      <c r="LUZ1" s="68"/>
      <c r="LVA1" s="68"/>
      <c r="LVB1" s="68"/>
      <c r="LVC1" s="68"/>
      <c r="LVD1" s="68"/>
      <c r="LVE1" s="68"/>
      <c r="LVF1" s="68"/>
      <c r="LVG1" s="68"/>
      <c r="LVH1" s="68"/>
      <c r="LVI1" s="68"/>
      <c r="LVJ1" s="68"/>
      <c r="LVK1" s="68"/>
      <c r="LVL1" s="68"/>
      <c r="LVM1" s="68"/>
      <c r="LVN1" s="68"/>
      <c r="LVO1" s="68"/>
      <c r="LVP1" s="68"/>
      <c r="LVQ1" s="68"/>
      <c r="LVR1" s="68"/>
      <c r="LVS1" s="68"/>
      <c r="LVT1" s="68"/>
      <c r="LVU1" s="68"/>
      <c r="LVV1" s="68"/>
      <c r="LVW1" s="68"/>
      <c r="LVX1" s="68"/>
      <c r="LVY1" s="68"/>
      <c r="LVZ1" s="68"/>
      <c r="LWA1" s="68"/>
      <c r="LWB1" s="68"/>
      <c r="LWC1" s="68"/>
      <c r="LWD1" s="68"/>
      <c r="LWE1" s="68"/>
      <c r="LWF1" s="68"/>
      <c r="LWG1" s="68"/>
      <c r="LWH1" s="68"/>
      <c r="LWI1" s="68"/>
      <c r="LWJ1" s="68"/>
      <c r="LWK1" s="68"/>
      <c r="LWL1" s="68"/>
      <c r="LWM1" s="68"/>
      <c r="LWN1" s="68"/>
      <c r="LWO1" s="68"/>
      <c r="LWP1" s="68"/>
      <c r="LWQ1" s="68"/>
      <c r="LWR1" s="68"/>
      <c r="LWS1" s="68"/>
      <c r="LWT1" s="68"/>
      <c r="LWU1" s="68"/>
      <c r="LWV1" s="68"/>
      <c r="LWW1" s="68"/>
      <c r="LWX1" s="68"/>
      <c r="LWY1" s="68"/>
      <c r="LWZ1" s="68"/>
      <c r="LXA1" s="68"/>
      <c r="LXB1" s="68"/>
      <c r="LXC1" s="68"/>
      <c r="LXD1" s="68"/>
      <c r="LXE1" s="68"/>
      <c r="LXF1" s="68"/>
      <c r="LXG1" s="68"/>
      <c r="LXH1" s="68"/>
      <c r="LXI1" s="68"/>
      <c r="LXJ1" s="68"/>
      <c r="LXK1" s="68"/>
      <c r="LXL1" s="68"/>
      <c r="LXM1" s="68"/>
      <c r="LXN1" s="68"/>
      <c r="LXO1" s="68"/>
      <c r="LXP1" s="68"/>
      <c r="LXQ1" s="68"/>
      <c r="LXR1" s="68"/>
      <c r="LXS1" s="68"/>
      <c r="LXT1" s="68"/>
      <c r="LXU1" s="68"/>
      <c r="LXV1" s="68"/>
      <c r="LXW1" s="68"/>
      <c r="LXX1" s="68"/>
      <c r="LXY1" s="68"/>
      <c r="LXZ1" s="68"/>
      <c r="LYA1" s="68"/>
      <c r="LYB1" s="68"/>
      <c r="LYC1" s="68"/>
      <c r="LYD1" s="68"/>
      <c r="LYE1" s="68"/>
      <c r="LYF1" s="68"/>
      <c r="LYG1" s="68"/>
      <c r="LYH1" s="68"/>
      <c r="LYI1" s="68"/>
      <c r="LYJ1" s="68"/>
      <c r="LYK1" s="68"/>
      <c r="LYL1" s="68"/>
      <c r="LYM1" s="68"/>
      <c r="LYN1" s="68"/>
      <c r="LYO1" s="68"/>
      <c r="LYP1" s="68"/>
      <c r="LYQ1" s="68"/>
      <c r="LYR1" s="68"/>
      <c r="LYS1" s="68"/>
      <c r="LYT1" s="68"/>
      <c r="LYU1" s="68"/>
      <c r="LYV1" s="68"/>
      <c r="LYW1" s="68"/>
      <c r="LYX1" s="68"/>
      <c r="LYY1" s="68"/>
      <c r="LYZ1" s="68"/>
      <c r="LZA1" s="68"/>
      <c r="LZB1" s="68"/>
      <c r="LZC1" s="68"/>
      <c r="LZD1" s="68"/>
      <c r="LZE1" s="68"/>
      <c r="LZF1" s="68"/>
      <c r="LZG1" s="68"/>
      <c r="LZH1" s="68"/>
      <c r="LZI1" s="68"/>
      <c r="LZJ1" s="68"/>
      <c r="LZK1" s="68"/>
      <c r="LZL1" s="68"/>
      <c r="LZM1" s="68"/>
      <c r="LZN1" s="68"/>
      <c r="LZO1" s="68"/>
      <c r="LZP1" s="68"/>
      <c r="LZQ1" s="68"/>
      <c r="LZR1" s="68"/>
      <c r="LZS1" s="68"/>
      <c r="LZT1" s="68"/>
      <c r="LZU1" s="68"/>
      <c r="LZV1" s="68"/>
      <c r="LZW1" s="68"/>
      <c r="LZX1" s="68"/>
      <c r="LZY1" s="68"/>
      <c r="LZZ1" s="68"/>
      <c r="MAA1" s="68"/>
      <c r="MAB1" s="68"/>
      <c r="MAC1" s="68"/>
      <c r="MAD1" s="68"/>
      <c r="MAE1" s="68"/>
      <c r="MAF1" s="68"/>
      <c r="MAG1" s="68"/>
      <c r="MAH1" s="68"/>
      <c r="MAI1" s="68"/>
      <c r="MAJ1" s="68"/>
      <c r="MAK1" s="68"/>
      <c r="MAL1" s="68"/>
      <c r="MAM1" s="68"/>
      <c r="MAN1" s="68"/>
      <c r="MAO1" s="68"/>
      <c r="MAP1" s="68"/>
      <c r="MAQ1" s="68"/>
      <c r="MAR1" s="68"/>
      <c r="MAS1" s="68"/>
      <c r="MAT1" s="68"/>
      <c r="MAU1" s="68"/>
      <c r="MAV1" s="68"/>
      <c r="MAW1" s="68"/>
      <c r="MAX1" s="68"/>
      <c r="MAY1" s="68"/>
      <c r="MAZ1" s="68"/>
      <c r="MBA1" s="68"/>
      <c r="MBB1" s="68"/>
      <c r="MBC1" s="68"/>
      <c r="MBD1" s="68"/>
      <c r="MBE1" s="68"/>
      <c r="MBF1" s="68"/>
      <c r="MBG1" s="68"/>
      <c r="MBH1" s="68"/>
      <c r="MBI1" s="68"/>
      <c r="MBJ1" s="68"/>
      <c r="MBK1" s="68"/>
      <c r="MBL1" s="68"/>
      <c r="MBM1" s="68"/>
      <c r="MBN1" s="68"/>
      <c r="MBO1" s="68"/>
      <c r="MBP1" s="68"/>
      <c r="MBQ1" s="68"/>
      <c r="MBR1" s="68"/>
      <c r="MBS1" s="68"/>
      <c r="MBT1" s="68"/>
      <c r="MBU1" s="68"/>
      <c r="MBV1" s="68"/>
      <c r="MBW1" s="68"/>
      <c r="MBX1" s="68"/>
      <c r="MBY1" s="68"/>
      <c r="MBZ1" s="68"/>
      <c r="MCA1" s="68"/>
      <c r="MCB1" s="68"/>
      <c r="MCC1" s="68"/>
      <c r="MCD1" s="68"/>
      <c r="MCE1" s="68"/>
      <c r="MCF1" s="68"/>
      <c r="MCG1" s="68"/>
      <c r="MCH1" s="68"/>
      <c r="MCI1" s="68"/>
      <c r="MCJ1" s="68"/>
      <c r="MCK1" s="68"/>
      <c r="MCL1" s="68"/>
      <c r="MCM1" s="68"/>
      <c r="MCN1" s="68"/>
      <c r="MCO1" s="68"/>
      <c r="MCP1" s="68"/>
      <c r="MCQ1" s="68"/>
      <c r="MCR1" s="68"/>
      <c r="MCS1" s="68"/>
      <c r="MCT1" s="68"/>
      <c r="MCU1" s="68"/>
      <c r="MCV1" s="68"/>
      <c r="MCW1" s="68"/>
      <c r="MCX1" s="68"/>
      <c r="MCY1" s="68"/>
      <c r="MCZ1" s="68"/>
      <c r="MDA1" s="68"/>
      <c r="MDB1" s="68"/>
      <c r="MDC1" s="68"/>
      <c r="MDD1" s="68"/>
      <c r="MDE1" s="68"/>
      <c r="MDF1" s="68"/>
      <c r="MDG1" s="68"/>
      <c r="MDH1" s="68"/>
      <c r="MDI1" s="68"/>
      <c r="MDJ1" s="68"/>
      <c r="MDK1" s="68"/>
      <c r="MDL1" s="68"/>
      <c r="MDM1" s="68"/>
      <c r="MDN1" s="68"/>
      <c r="MDO1" s="68"/>
      <c r="MDP1" s="68"/>
      <c r="MDQ1" s="68"/>
      <c r="MDR1" s="68"/>
      <c r="MDS1" s="68"/>
      <c r="MDT1" s="68"/>
      <c r="MDU1" s="68"/>
      <c r="MDV1" s="68"/>
      <c r="MDW1" s="68"/>
      <c r="MDX1" s="68"/>
      <c r="MDY1" s="68"/>
      <c r="MDZ1" s="68"/>
      <c r="MEA1" s="68"/>
      <c r="MEB1" s="68"/>
      <c r="MEC1" s="68"/>
      <c r="MED1" s="68"/>
      <c r="MEE1" s="68"/>
      <c r="MEF1" s="68"/>
      <c r="MEG1" s="68"/>
      <c r="MEH1" s="68"/>
      <c r="MEI1" s="68"/>
      <c r="MEJ1" s="68"/>
      <c r="MEK1" s="68"/>
      <c r="MEL1" s="68"/>
      <c r="MEM1" s="68"/>
      <c r="MEN1" s="68"/>
      <c r="MEO1" s="68"/>
      <c r="MEP1" s="68"/>
      <c r="MEQ1" s="68"/>
      <c r="MER1" s="68"/>
      <c r="MES1" s="68"/>
      <c r="MET1" s="68"/>
      <c r="MEU1" s="68"/>
      <c r="MEV1" s="68"/>
      <c r="MEW1" s="68"/>
      <c r="MEX1" s="68"/>
      <c r="MEY1" s="68"/>
      <c r="MEZ1" s="68"/>
      <c r="MFA1" s="68"/>
      <c r="MFB1" s="68"/>
      <c r="MFC1" s="68"/>
      <c r="MFD1" s="68"/>
      <c r="MFE1" s="68"/>
      <c r="MFF1" s="68"/>
      <c r="MFG1" s="68"/>
      <c r="MFH1" s="68"/>
      <c r="MFI1" s="68"/>
      <c r="MFJ1" s="68"/>
      <c r="MFK1" s="68"/>
      <c r="MFL1" s="68"/>
      <c r="MFM1" s="68"/>
      <c r="MFN1" s="68"/>
      <c r="MFO1" s="68"/>
      <c r="MFP1" s="68"/>
      <c r="MFQ1" s="68"/>
      <c r="MFR1" s="68"/>
      <c r="MFS1" s="68"/>
      <c r="MFT1" s="68"/>
      <c r="MFU1" s="68"/>
      <c r="MFV1" s="68"/>
      <c r="MFW1" s="68"/>
      <c r="MFX1" s="68"/>
      <c r="MFY1" s="68"/>
      <c r="MFZ1" s="68"/>
      <c r="MGA1" s="68"/>
      <c r="MGB1" s="68"/>
      <c r="MGC1" s="68"/>
      <c r="MGD1" s="68"/>
      <c r="MGE1" s="68"/>
      <c r="MGF1" s="68"/>
      <c r="MGG1" s="68"/>
      <c r="MGH1" s="68"/>
      <c r="MGI1" s="68"/>
      <c r="MGJ1" s="68"/>
      <c r="MGK1" s="68"/>
      <c r="MGL1" s="68"/>
      <c r="MGM1" s="68"/>
      <c r="MGN1" s="68"/>
      <c r="MGO1" s="68"/>
      <c r="MGP1" s="68"/>
      <c r="MGQ1" s="68"/>
      <c r="MGR1" s="68"/>
      <c r="MGS1" s="68"/>
      <c r="MGT1" s="68"/>
      <c r="MGU1" s="68"/>
      <c r="MGV1" s="68"/>
      <c r="MGW1" s="68"/>
      <c r="MGX1" s="68"/>
      <c r="MGY1" s="68"/>
      <c r="MGZ1" s="68"/>
      <c r="MHA1" s="68"/>
      <c r="MHB1" s="68"/>
      <c r="MHC1" s="68"/>
      <c r="MHD1" s="68"/>
      <c r="MHE1" s="68"/>
      <c r="MHF1" s="68"/>
      <c r="MHG1" s="68"/>
      <c r="MHH1" s="68"/>
      <c r="MHI1" s="68"/>
      <c r="MHJ1" s="68"/>
      <c r="MHK1" s="68"/>
      <c r="MHL1" s="68"/>
      <c r="MHM1" s="68"/>
      <c r="MHN1" s="68"/>
      <c r="MHO1" s="68"/>
      <c r="MHP1" s="68"/>
      <c r="MHQ1" s="68"/>
      <c r="MHR1" s="68"/>
      <c r="MHS1" s="68"/>
      <c r="MHT1" s="68"/>
      <c r="MHU1" s="68"/>
      <c r="MHV1" s="68"/>
      <c r="MHW1" s="68"/>
      <c r="MHX1" s="68"/>
      <c r="MHY1" s="68"/>
      <c r="MHZ1" s="68"/>
      <c r="MIA1" s="68"/>
      <c r="MIB1" s="68"/>
      <c r="MIC1" s="68"/>
      <c r="MID1" s="68"/>
      <c r="MIE1" s="68"/>
      <c r="MIF1" s="68"/>
      <c r="MIG1" s="68"/>
      <c r="MIH1" s="68"/>
      <c r="MII1" s="68"/>
      <c r="MIJ1" s="68"/>
      <c r="MIK1" s="68"/>
      <c r="MIL1" s="68"/>
      <c r="MIM1" s="68"/>
      <c r="MIN1" s="68"/>
      <c r="MIO1" s="68"/>
      <c r="MIP1" s="68"/>
      <c r="MIQ1" s="68"/>
      <c r="MIR1" s="68"/>
      <c r="MIS1" s="68"/>
      <c r="MIT1" s="68"/>
      <c r="MIU1" s="68"/>
      <c r="MIV1" s="68"/>
      <c r="MIW1" s="68"/>
      <c r="MIX1" s="68"/>
      <c r="MIY1" s="68"/>
      <c r="MIZ1" s="68"/>
      <c r="MJA1" s="68"/>
      <c r="MJB1" s="68"/>
      <c r="MJC1" s="68"/>
      <c r="MJD1" s="68"/>
      <c r="MJE1" s="68"/>
      <c r="MJF1" s="68"/>
      <c r="MJG1" s="68"/>
      <c r="MJH1" s="68"/>
      <c r="MJI1" s="68"/>
      <c r="MJJ1" s="68"/>
      <c r="MJK1" s="68"/>
      <c r="MJL1" s="68"/>
      <c r="MJM1" s="68"/>
      <c r="MJN1" s="68"/>
      <c r="MJO1" s="68"/>
      <c r="MJP1" s="68"/>
      <c r="MJQ1" s="68"/>
      <c r="MJR1" s="68"/>
      <c r="MJS1" s="68"/>
      <c r="MJT1" s="68"/>
      <c r="MJU1" s="68"/>
      <c r="MJV1" s="68"/>
      <c r="MJW1" s="68"/>
      <c r="MJX1" s="68"/>
      <c r="MJY1" s="68"/>
      <c r="MJZ1" s="68"/>
      <c r="MKA1" s="68"/>
      <c r="MKB1" s="68"/>
      <c r="MKC1" s="68"/>
      <c r="MKD1" s="68"/>
      <c r="MKE1" s="68"/>
      <c r="MKF1" s="68"/>
      <c r="MKG1" s="68"/>
      <c r="MKH1" s="68"/>
      <c r="MKI1" s="68"/>
      <c r="MKJ1" s="68"/>
      <c r="MKK1" s="68"/>
      <c r="MKL1" s="68"/>
      <c r="MKM1" s="68"/>
      <c r="MKN1" s="68"/>
      <c r="MKO1" s="68"/>
      <c r="MKP1" s="68"/>
      <c r="MKQ1" s="68"/>
      <c r="MKR1" s="68"/>
      <c r="MKS1" s="68"/>
      <c r="MKT1" s="68"/>
      <c r="MKU1" s="68"/>
      <c r="MKV1" s="68"/>
      <c r="MKW1" s="68"/>
      <c r="MKX1" s="68"/>
      <c r="MKY1" s="68"/>
      <c r="MKZ1" s="68"/>
      <c r="MLA1" s="68"/>
      <c r="MLB1" s="68"/>
      <c r="MLC1" s="68"/>
      <c r="MLD1" s="68"/>
      <c r="MLE1" s="68"/>
      <c r="MLF1" s="68"/>
      <c r="MLG1" s="68"/>
      <c r="MLH1" s="68"/>
      <c r="MLI1" s="68"/>
      <c r="MLJ1" s="68"/>
      <c r="MLK1" s="68"/>
      <c r="MLL1" s="68"/>
      <c r="MLM1" s="68"/>
      <c r="MLN1" s="68"/>
      <c r="MLO1" s="68"/>
      <c r="MLP1" s="68"/>
      <c r="MLQ1" s="68"/>
      <c r="MLR1" s="68"/>
      <c r="MLS1" s="68"/>
      <c r="MLT1" s="68"/>
      <c r="MLU1" s="68"/>
      <c r="MLV1" s="68"/>
      <c r="MLW1" s="68"/>
      <c r="MLX1" s="68"/>
      <c r="MLY1" s="68"/>
      <c r="MLZ1" s="68"/>
      <c r="MMA1" s="68"/>
      <c r="MMB1" s="68"/>
      <c r="MMC1" s="68"/>
      <c r="MMD1" s="68"/>
      <c r="MME1" s="68"/>
      <c r="MMF1" s="68"/>
      <c r="MMG1" s="68"/>
      <c r="MMH1" s="68"/>
      <c r="MMI1" s="68"/>
      <c r="MMJ1" s="68"/>
      <c r="MMK1" s="68"/>
      <c r="MML1" s="68"/>
      <c r="MMM1" s="68"/>
      <c r="MMN1" s="68"/>
      <c r="MMO1" s="68"/>
      <c r="MMP1" s="68"/>
      <c r="MMQ1" s="68"/>
      <c r="MMR1" s="68"/>
      <c r="MMS1" s="68"/>
      <c r="MMT1" s="68"/>
      <c r="MMU1" s="68"/>
      <c r="MMV1" s="68"/>
      <c r="MMW1" s="68"/>
      <c r="MMX1" s="68"/>
      <c r="MMY1" s="68"/>
      <c r="MMZ1" s="68"/>
      <c r="MNA1" s="68"/>
      <c r="MNB1" s="68"/>
      <c r="MNC1" s="68"/>
      <c r="MND1" s="68"/>
      <c r="MNE1" s="68"/>
      <c r="MNF1" s="68"/>
      <c r="MNG1" s="68"/>
      <c r="MNH1" s="68"/>
      <c r="MNI1" s="68"/>
      <c r="MNJ1" s="68"/>
      <c r="MNK1" s="68"/>
      <c r="MNL1" s="68"/>
      <c r="MNM1" s="68"/>
      <c r="MNN1" s="68"/>
      <c r="MNO1" s="68"/>
      <c r="MNP1" s="68"/>
      <c r="MNQ1" s="68"/>
      <c r="MNR1" s="68"/>
      <c r="MNS1" s="68"/>
      <c r="MNT1" s="68"/>
      <c r="MNU1" s="68"/>
      <c r="MNV1" s="68"/>
      <c r="MNW1" s="68"/>
      <c r="MNX1" s="68"/>
      <c r="MNY1" s="68"/>
      <c r="MNZ1" s="68"/>
      <c r="MOA1" s="68"/>
      <c r="MOB1" s="68"/>
      <c r="MOC1" s="68"/>
      <c r="MOD1" s="68"/>
      <c r="MOE1" s="68"/>
      <c r="MOF1" s="68"/>
      <c r="MOG1" s="68"/>
      <c r="MOH1" s="68"/>
      <c r="MOI1" s="68"/>
      <c r="MOJ1" s="68"/>
      <c r="MOK1" s="68"/>
      <c r="MOL1" s="68"/>
      <c r="MOM1" s="68"/>
      <c r="MON1" s="68"/>
      <c r="MOO1" s="68"/>
      <c r="MOP1" s="68"/>
      <c r="MOQ1" s="68"/>
      <c r="MOR1" s="68"/>
      <c r="MOS1" s="68"/>
      <c r="MOT1" s="68"/>
      <c r="MOU1" s="68"/>
      <c r="MOV1" s="68"/>
      <c r="MOW1" s="68"/>
      <c r="MOX1" s="68"/>
      <c r="MOY1" s="68"/>
      <c r="MOZ1" s="68"/>
      <c r="MPA1" s="68"/>
      <c r="MPB1" s="68"/>
      <c r="MPC1" s="68"/>
      <c r="MPD1" s="68"/>
      <c r="MPE1" s="68"/>
      <c r="MPF1" s="68"/>
      <c r="MPG1" s="68"/>
      <c r="MPH1" s="68"/>
      <c r="MPI1" s="68"/>
      <c r="MPJ1" s="68"/>
      <c r="MPK1" s="68"/>
      <c r="MPL1" s="68"/>
      <c r="MPM1" s="68"/>
      <c r="MPN1" s="68"/>
      <c r="MPO1" s="68"/>
      <c r="MPP1" s="68"/>
      <c r="MPQ1" s="68"/>
      <c r="MPR1" s="68"/>
      <c r="MPS1" s="68"/>
      <c r="MPT1" s="68"/>
      <c r="MPU1" s="68"/>
      <c r="MPV1" s="68"/>
      <c r="MPW1" s="68"/>
      <c r="MPX1" s="68"/>
      <c r="MPY1" s="68"/>
      <c r="MPZ1" s="68"/>
      <c r="MQA1" s="68"/>
      <c r="MQB1" s="68"/>
      <c r="MQC1" s="68"/>
      <c r="MQD1" s="68"/>
      <c r="MQE1" s="68"/>
      <c r="MQF1" s="68"/>
      <c r="MQG1" s="68"/>
      <c r="MQH1" s="68"/>
      <c r="MQI1" s="68"/>
      <c r="MQJ1" s="68"/>
      <c r="MQK1" s="68"/>
      <c r="MQL1" s="68"/>
      <c r="MQM1" s="68"/>
      <c r="MQN1" s="68"/>
      <c r="MQO1" s="68"/>
      <c r="MQP1" s="68"/>
      <c r="MQQ1" s="68"/>
      <c r="MQR1" s="68"/>
      <c r="MQS1" s="68"/>
      <c r="MQT1" s="68"/>
      <c r="MQU1" s="68"/>
      <c r="MQV1" s="68"/>
      <c r="MQW1" s="68"/>
      <c r="MQX1" s="68"/>
      <c r="MQY1" s="68"/>
      <c r="MQZ1" s="68"/>
      <c r="MRA1" s="68"/>
      <c r="MRB1" s="68"/>
      <c r="MRC1" s="68"/>
      <c r="MRD1" s="68"/>
      <c r="MRE1" s="68"/>
      <c r="MRF1" s="68"/>
      <c r="MRG1" s="68"/>
      <c r="MRH1" s="68"/>
      <c r="MRI1" s="68"/>
      <c r="MRJ1" s="68"/>
      <c r="MRK1" s="68"/>
      <c r="MRL1" s="68"/>
      <c r="MRM1" s="68"/>
      <c r="MRN1" s="68"/>
      <c r="MRO1" s="68"/>
      <c r="MRP1" s="68"/>
      <c r="MRQ1" s="68"/>
      <c r="MRR1" s="68"/>
      <c r="MRS1" s="68"/>
      <c r="MRT1" s="68"/>
      <c r="MRU1" s="68"/>
      <c r="MRV1" s="68"/>
      <c r="MRW1" s="68"/>
      <c r="MRX1" s="68"/>
      <c r="MRY1" s="68"/>
      <c r="MRZ1" s="68"/>
      <c r="MSA1" s="68"/>
      <c r="MSB1" s="68"/>
      <c r="MSC1" s="68"/>
      <c r="MSD1" s="68"/>
      <c r="MSE1" s="68"/>
      <c r="MSF1" s="68"/>
      <c r="MSG1" s="68"/>
      <c r="MSH1" s="68"/>
      <c r="MSI1" s="68"/>
      <c r="MSJ1" s="68"/>
      <c r="MSK1" s="68"/>
      <c r="MSL1" s="68"/>
      <c r="MSM1" s="68"/>
      <c r="MSN1" s="68"/>
      <c r="MSO1" s="68"/>
      <c r="MSP1" s="68"/>
      <c r="MSQ1" s="68"/>
      <c r="MSR1" s="68"/>
      <c r="MSS1" s="68"/>
      <c r="MST1" s="68"/>
      <c r="MSU1" s="68"/>
      <c r="MSV1" s="68"/>
      <c r="MSW1" s="68"/>
      <c r="MSX1" s="68"/>
      <c r="MSY1" s="68"/>
      <c r="MSZ1" s="68"/>
      <c r="MTA1" s="68"/>
      <c r="MTB1" s="68"/>
      <c r="MTC1" s="68"/>
      <c r="MTD1" s="68"/>
      <c r="MTE1" s="68"/>
      <c r="MTF1" s="68"/>
      <c r="MTG1" s="68"/>
      <c r="MTH1" s="68"/>
      <c r="MTI1" s="68"/>
      <c r="MTJ1" s="68"/>
      <c r="MTK1" s="68"/>
      <c r="MTL1" s="68"/>
      <c r="MTM1" s="68"/>
      <c r="MTN1" s="68"/>
      <c r="MTO1" s="68"/>
      <c r="MTP1" s="68"/>
      <c r="MTQ1" s="68"/>
      <c r="MTR1" s="68"/>
      <c r="MTS1" s="68"/>
      <c r="MTT1" s="68"/>
      <c r="MTU1" s="68"/>
      <c r="MTV1" s="68"/>
      <c r="MTW1" s="68"/>
      <c r="MTX1" s="68"/>
      <c r="MTY1" s="68"/>
      <c r="MTZ1" s="68"/>
      <c r="MUA1" s="68"/>
      <c r="MUB1" s="68"/>
      <c r="MUC1" s="68"/>
      <c r="MUD1" s="68"/>
      <c r="MUE1" s="68"/>
      <c r="MUF1" s="68"/>
      <c r="MUG1" s="68"/>
      <c r="MUH1" s="68"/>
      <c r="MUI1" s="68"/>
      <c r="MUJ1" s="68"/>
      <c r="MUK1" s="68"/>
      <c r="MUL1" s="68"/>
      <c r="MUM1" s="68"/>
      <c r="MUN1" s="68"/>
      <c r="MUO1" s="68"/>
      <c r="MUP1" s="68"/>
      <c r="MUQ1" s="68"/>
      <c r="MUR1" s="68"/>
      <c r="MUS1" s="68"/>
      <c r="MUT1" s="68"/>
      <c r="MUU1" s="68"/>
      <c r="MUV1" s="68"/>
      <c r="MUW1" s="68"/>
      <c r="MUX1" s="68"/>
      <c r="MUY1" s="68"/>
      <c r="MUZ1" s="68"/>
      <c r="MVA1" s="68"/>
      <c r="MVB1" s="68"/>
      <c r="MVC1" s="68"/>
      <c r="MVD1" s="68"/>
      <c r="MVE1" s="68"/>
      <c r="MVF1" s="68"/>
      <c r="MVG1" s="68"/>
      <c r="MVH1" s="68"/>
      <c r="MVI1" s="68"/>
      <c r="MVJ1" s="68"/>
      <c r="MVK1" s="68"/>
      <c r="MVL1" s="68"/>
      <c r="MVM1" s="68"/>
      <c r="MVN1" s="68"/>
      <c r="MVO1" s="68"/>
      <c r="MVP1" s="68"/>
      <c r="MVQ1" s="68"/>
      <c r="MVR1" s="68"/>
      <c r="MVS1" s="68"/>
      <c r="MVT1" s="68"/>
      <c r="MVU1" s="68"/>
      <c r="MVV1" s="68"/>
      <c r="MVW1" s="68"/>
      <c r="MVX1" s="68"/>
      <c r="MVY1" s="68"/>
      <c r="MVZ1" s="68"/>
      <c r="MWA1" s="68"/>
      <c r="MWB1" s="68"/>
      <c r="MWC1" s="68"/>
      <c r="MWD1" s="68"/>
      <c r="MWE1" s="68"/>
      <c r="MWF1" s="68"/>
      <c r="MWG1" s="68"/>
      <c r="MWH1" s="68"/>
      <c r="MWI1" s="68"/>
      <c r="MWJ1" s="68"/>
      <c r="MWK1" s="68"/>
      <c r="MWL1" s="68"/>
      <c r="MWM1" s="68"/>
      <c r="MWN1" s="68"/>
      <c r="MWO1" s="68"/>
      <c r="MWP1" s="68"/>
      <c r="MWQ1" s="68"/>
      <c r="MWR1" s="68"/>
      <c r="MWS1" s="68"/>
      <c r="MWT1" s="68"/>
      <c r="MWU1" s="68"/>
      <c r="MWV1" s="68"/>
      <c r="MWW1" s="68"/>
      <c r="MWX1" s="68"/>
      <c r="MWY1" s="68"/>
      <c r="MWZ1" s="68"/>
      <c r="MXA1" s="68"/>
      <c r="MXB1" s="68"/>
      <c r="MXC1" s="68"/>
      <c r="MXD1" s="68"/>
      <c r="MXE1" s="68"/>
      <c r="MXF1" s="68"/>
      <c r="MXG1" s="68"/>
      <c r="MXH1" s="68"/>
      <c r="MXI1" s="68"/>
      <c r="MXJ1" s="68"/>
      <c r="MXK1" s="68"/>
      <c r="MXL1" s="68"/>
      <c r="MXM1" s="68"/>
      <c r="MXN1" s="68"/>
      <c r="MXO1" s="68"/>
      <c r="MXP1" s="68"/>
      <c r="MXQ1" s="68"/>
      <c r="MXR1" s="68"/>
      <c r="MXS1" s="68"/>
      <c r="MXT1" s="68"/>
      <c r="MXU1" s="68"/>
      <c r="MXV1" s="68"/>
      <c r="MXW1" s="68"/>
      <c r="MXX1" s="68"/>
      <c r="MXY1" s="68"/>
      <c r="MXZ1" s="68"/>
      <c r="MYA1" s="68"/>
      <c r="MYB1" s="68"/>
      <c r="MYC1" s="68"/>
      <c r="MYD1" s="68"/>
      <c r="MYE1" s="68"/>
      <c r="MYF1" s="68"/>
      <c r="MYG1" s="68"/>
      <c r="MYH1" s="68"/>
      <c r="MYI1" s="68"/>
      <c r="MYJ1" s="68"/>
      <c r="MYK1" s="68"/>
      <c r="MYL1" s="68"/>
      <c r="MYM1" s="68"/>
      <c r="MYN1" s="68"/>
      <c r="MYO1" s="68"/>
      <c r="MYP1" s="68"/>
      <c r="MYQ1" s="68"/>
      <c r="MYR1" s="68"/>
      <c r="MYS1" s="68"/>
      <c r="MYT1" s="68"/>
      <c r="MYU1" s="68"/>
      <c r="MYV1" s="68"/>
      <c r="MYW1" s="68"/>
      <c r="MYX1" s="68"/>
      <c r="MYY1" s="68"/>
      <c r="MYZ1" s="68"/>
      <c r="MZA1" s="68"/>
      <c r="MZB1" s="68"/>
      <c r="MZC1" s="68"/>
      <c r="MZD1" s="68"/>
      <c r="MZE1" s="68"/>
      <c r="MZF1" s="68"/>
      <c r="MZG1" s="68"/>
      <c r="MZH1" s="68"/>
      <c r="MZI1" s="68"/>
      <c r="MZJ1" s="68"/>
      <c r="MZK1" s="68"/>
      <c r="MZL1" s="68"/>
      <c r="MZM1" s="68"/>
      <c r="MZN1" s="68"/>
      <c r="MZO1" s="68"/>
      <c r="MZP1" s="68"/>
      <c r="MZQ1" s="68"/>
      <c r="MZR1" s="68"/>
      <c r="MZS1" s="68"/>
      <c r="MZT1" s="68"/>
      <c r="MZU1" s="68"/>
      <c r="MZV1" s="68"/>
      <c r="MZW1" s="68"/>
      <c r="MZX1" s="68"/>
      <c r="MZY1" s="68"/>
      <c r="MZZ1" s="68"/>
      <c r="NAA1" s="68"/>
      <c r="NAB1" s="68"/>
      <c r="NAC1" s="68"/>
      <c r="NAD1" s="68"/>
      <c r="NAE1" s="68"/>
      <c r="NAF1" s="68"/>
      <c r="NAG1" s="68"/>
      <c r="NAH1" s="68"/>
      <c r="NAI1" s="68"/>
      <c r="NAJ1" s="68"/>
      <c r="NAK1" s="68"/>
      <c r="NAL1" s="68"/>
      <c r="NAM1" s="68"/>
      <c r="NAN1" s="68"/>
      <c r="NAO1" s="68"/>
      <c r="NAP1" s="68"/>
      <c r="NAQ1" s="68"/>
      <c r="NAR1" s="68"/>
      <c r="NAS1" s="68"/>
      <c r="NAT1" s="68"/>
      <c r="NAU1" s="68"/>
      <c r="NAV1" s="68"/>
      <c r="NAW1" s="68"/>
      <c r="NAX1" s="68"/>
      <c r="NAY1" s="68"/>
      <c r="NAZ1" s="68"/>
      <c r="NBA1" s="68"/>
      <c r="NBB1" s="68"/>
      <c r="NBC1" s="68"/>
      <c r="NBD1" s="68"/>
      <c r="NBE1" s="68"/>
      <c r="NBF1" s="68"/>
      <c r="NBG1" s="68"/>
      <c r="NBH1" s="68"/>
      <c r="NBI1" s="68"/>
      <c r="NBJ1" s="68"/>
      <c r="NBK1" s="68"/>
      <c r="NBL1" s="68"/>
      <c r="NBM1" s="68"/>
      <c r="NBN1" s="68"/>
      <c r="NBO1" s="68"/>
      <c r="NBP1" s="68"/>
      <c r="NBQ1" s="68"/>
      <c r="NBR1" s="68"/>
      <c r="NBS1" s="68"/>
      <c r="NBT1" s="68"/>
      <c r="NBU1" s="68"/>
      <c r="NBV1" s="68"/>
      <c r="NBW1" s="68"/>
      <c r="NBX1" s="68"/>
      <c r="NBY1" s="68"/>
      <c r="NBZ1" s="68"/>
      <c r="NCA1" s="68"/>
      <c r="NCB1" s="68"/>
      <c r="NCC1" s="68"/>
      <c r="NCD1" s="68"/>
      <c r="NCE1" s="68"/>
      <c r="NCF1" s="68"/>
      <c r="NCG1" s="68"/>
      <c r="NCH1" s="68"/>
      <c r="NCI1" s="68"/>
      <c r="NCJ1" s="68"/>
      <c r="NCK1" s="68"/>
      <c r="NCL1" s="68"/>
      <c r="NCM1" s="68"/>
      <c r="NCN1" s="68"/>
      <c r="NCO1" s="68"/>
      <c r="NCP1" s="68"/>
      <c r="NCQ1" s="68"/>
      <c r="NCR1" s="68"/>
      <c r="NCS1" s="68"/>
      <c r="NCT1" s="68"/>
      <c r="NCU1" s="68"/>
      <c r="NCV1" s="68"/>
      <c r="NCW1" s="68"/>
      <c r="NCX1" s="68"/>
      <c r="NCY1" s="68"/>
      <c r="NCZ1" s="68"/>
      <c r="NDA1" s="68"/>
      <c r="NDB1" s="68"/>
      <c r="NDC1" s="68"/>
      <c r="NDD1" s="68"/>
      <c r="NDE1" s="68"/>
      <c r="NDF1" s="68"/>
      <c r="NDG1" s="68"/>
      <c r="NDH1" s="68"/>
      <c r="NDI1" s="68"/>
      <c r="NDJ1" s="68"/>
      <c r="NDK1" s="68"/>
      <c r="NDL1" s="68"/>
      <c r="NDM1" s="68"/>
      <c r="NDN1" s="68"/>
      <c r="NDO1" s="68"/>
      <c r="NDP1" s="68"/>
      <c r="NDQ1" s="68"/>
      <c r="NDR1" s="68"/>
      <c r="NDS1" s="68"/>
      <c r="NDT1" s="68"/>
      <c r="NDU1" s="68"/>
      <c r="NDV1" s="68"/>
      <c r="NDW1" s="68"/>
      <c r="NDX1" s="68"/>
      <c r="NDY1" s="68"/>
      <c r="NDZ1" s="68"/>
      <c r="NEA1" s="68"/>
      <c r="NEB1" s="68"/>
      <c r="NEC1" s="68"/>
      <c r="NED1" s="68"/>
      <c r="NEE1" s="68"/>
      <c r="NEF1" s="68"/>
      <c r="NEG1" s="68"/>
      <c r="NEH1" s="68"/>
      <c r="NEI1" s="68"/>
      <c r="NEJ1" s="68"/>
      <c r="NEK1" s="68"/>
      <c r="NEL1" s="68"/>
      <c r="NEM1" s="68"/>
      <c r="NEN1" s="68"/>
      <c r="NEO1" s="68"/>
      <c r="NEP1" s="68"/>
      <c r="NEQ1" s="68"/>
      <c r="NER1" s="68"/>
      <c r="NES1" s="68"/>
      <c r="NET1" s="68"/>
      <c r="NEU1" s="68"/>
      <c r="NEV1" s="68"/>
      <c r="NEW1" s="68"/>
      <c r="NEX1" s="68"/>
      <c r="NEY1" s="68"/>
      <c r="NEZ1" s="68"/>
      <c r="NFA1" s="68"/>
      <c r="NFB1" s="68"/>
      <c r="NFC1" s="68"/>
      <c r="NFD1" s="68"/>
      <c r="NFE1" s="68"/>
      <c r="NFF1" s="68"/>
      <c r="NFG1" s="68"/>
      <c r="NFH1" s="68"/>
      <c r="NFI1" s="68"/>
      <c r="NFJ1" s="68"/>
      <c r="NFK1" s="68"/>
      <c r="NFL1" s="68"/>
      <c r="NFM1" s="68"/>
      <c r="NFN1" s="68"/>
      <c r="NFO1" s="68"/>
      <c r="NFP1" s="68"/>
      <c r="NFQ1" s="68"/>
      <c r="NFR1" s="68"/>
      <c r="NFS1" s="68"/>
      <c r="NFT1" s="68"/>
      <c r="NFU1" s="68"/>
      <c r="NFV1" s="68"/>
      <c r="NFW1" s="68"/>
      <c r="NFX1" s="68"/>
      <c r="NFY1" s="68"/>
      <c r="NFZ1" s="68"/>
      <c r="NGA1" s="68"/>
      <c r="NGB1" s="68"/>
      <c r="NGC1" s="68"/>
      <c r="NGD1" s="68"/>
      <c r="NGE1" s="68"/>
      <c r="NGF1" s="68"/>
      <c r="NGG1" s="68"/>
      <c r="NGH1" s="68"/>
      <c r="NGI1" s="68"/>
      <c r="NGJ1" s="68"/>
      <c r="NGK1" s="68"/>
      <c r="NGL1" s="68"/>
      <c r="NGM1" s="68"/>
      <c r="NGN1" s="68"/>
      <c r="NGO1" s="68"/>
      <c r="NGP1" s="68"/>
      <c r="NGQ1" s="68"/>
      <c r="NGR1" s="68"/>
      <c r="NGS1" s="68"/>
      <c r="NGT1" s="68"/>
      <c r="NGU1" s="68"/>
      <c r="NGV1" s="68"/>
      <c r="NGW1" s="68"/>
      <c r="NGX1" s="68"/>
      <c r="NGY1" s="68"/>
      <c r="NGZ1" s="68"/>
      <c r="NHA1" s="68"/>
      <c r="NHB1" s="68"/>
      <c r="NHC1" s="68"/>
      <c r="NHD1" s="68"/>
      <c r="NHE1" s="68"/>
      <c r="NHF1" s="68"/>
      <c r="NHG1" s="68"/>
      <c r="NHH1" s="68"/>
      <c r="NHI1" s="68"/>
      <c r="NHJ1" s="68"/>
      <c r="NHK1" s="68"/>
      <c r="NHL1" s="68"/>
      <c r="NHM1" s="68"/>
      <c r="NHN1" s="68"/>
      <c r="NHO1" s="68"/>
      <c r="NHP1" s="68"/>
      <c r="NHQ1" s="68"/>
      <c r="NHR1" s="68"/>
      <c r="NHS1" s="68"/>
      <c r="NHT1" s="68"/>
      <c r="NHU1" s="68"/>
      <c r="NHV1" s="68"/>
      <c r="NHW1" s="68"/>
      <c r="NHX1" s="68"/>
      <c r="NHY1" s="68"/>
      <c r="NHZ1" s="68"/>
      <c r="NIA1" s="68"/>
      <c r="NIB1" s="68"/>
      <c r="NIC1" s="68"/>
      <c r="NID1" s="68"/>
      <c r="NIE1" s="68"/>
      <c r="NIF1" s="68"/>
      <c r="NIG1" s="68"/>
      <c r="NIH1" s="68"/>
      <c r="NII1" s="68"/>
      <c r="NIJ1" s="68"/>
      <c r="NIK1" s="68"/>
      <c r="NIL1" s="68"/>
      <c r="NIM1" s="68"/>
      <c r="NIN1" s="68"/>
      <c r="NIO1" s="68"/>
      <c r="NIP1" s="68"/>
      <c r="NIQ1" s="68"/>
      <c r="NIR1" s="68"/>
      <c r="NIS1" s="68"/>
      <c r="NIT1" s="68"/>
      <c r="NIU1" s="68"/>
      <c r="NIV1" s="68"/>
      <c r="NIW1" s="68"/>
      <c r="NIX1" s="68"/>
      <c r="NIY1" s="68"/>
      <c r="NIZ1" s="68"/>
      <c r="NJA1" s="68"/>
      <c r="NJB1" s="68"/>
      <c r="NJC1" s="68"/>
      <c r="NJD1" s="68"/>
      <c r="NJE1" s="68"/>
      <c r="NJF1" s="68"/>
      <c r="NJG1" s="68"/>
      <c r="NJH1" s="68"/>
      <c r="NJI1" s="68"/>
      <c r="NJJ1" s="68"/>
      <c r="NJK1" s="68"/>
      <c r="NJL1" s="68"/>
      <c r="NJM1" s="68"/>
      <c r="NJN1" s="68"/>
      <c r="NJO1" s="68"/>
      <c r="NJP1" s="68"/>
      <c r="NJQ1" s="68"/>
      <c r="NJR1" s="68"/>
      <c r="NJS1" s="68"/>
      <c r="NJT1" s="68"/>
      <c r="NJU1" s="68"/>
      <c r="NJV1" s="68"/>
      <c r="NJW1" s="68"/>
      <c r="NJX1" s="68"/>
      <c r="NJY1" s="68"/>
      <c r="NJZ1" s="68"/>
      <c r="NKA1" s="68"/>
      <c r="NKB1" s="68"/>
      <c r="NKC1" s="68"/>
      <c r="NKD1" s="68"/>
      <c r="NKE1" s="68"/>
      <c r="NKF1" s="68"/>
      <c r="NKG1" s="68"/>
      <c r="NKH1" s="68"/>
      <c r="NKI1" s="68"/>
      <c r="NKJ1" s="68"/>
      <c r="NKK1" s="68"/>
      <c r="NKL1" s="68"/>
      <c r="NKM1" s="68"/>
      <c r="NKN1" s="68"/>
      <c r="NKO1" s="68"/>
      <c r="NKP1" s="68"/>
      <c r="NKQ1" s="68"/>
      <c r="NKR1" s="68"/>
      <c r="NKS1" s="68"/>
      <c r="NKT1" s="68"/>
      <c r="NKU1" s="68"/>
      <c r="NKV1" s="68"/>
      <c r="NKW1" s="68"/>
      <c r="NKX1" s="68"/>
      <c r="NKY1" s="68"/>
      <c r="NKZ1" s="68"/>
      <c r="NLA1" s="68"/>
      <c r="NLB1" s="68"/>
      <c r="NLC1" s="68"/>
      <c r="NLD1" s="68"/>
      <c r="NLE1" s="68"/>
      <c r="NLF1" s="68"/>
      <c r="NLG1" s="68"/>
      <c r="NLH1" s="68"/>
      <c r="NLI1" s="68"/>
      <c r="NLJ1" s="68"/>
      <c r="NLK1" s="68"/>
      <c r="NLL1" s="68"/>
      <c r="NLM1" s="68"/>
      <c r="NLN1" s="68"/>
      <c r="NLO1" s="68"/>
      <c r="NLP1" s="68"/>
      <c r="NLQ1" s="68"/>
      <c r="NLR1" s="68"/>
      <c r="NLS1" s="68"/>
      <c r="NLT1" s="68"/>
      <c r="NLU1" s="68"/>
      <c r="NLV1" s="68"/>
      <c r="NLW1" s="68"/>
      <c r="NLX1" s="68"/>
      <c r="NLY1" s="68"/>
      <c r="NLZ1" s="68"/>
      <c r="NMA1" s="68"/>
      <c r="NMB1" s="68"/>
      <c r="NMC1" s="68"/>
      <c r="NMD1" s="68"/>
      <c r="NME1" s="68"/>
      <c r="NMF1" s="68"/>
      <c r="NMG1" s="68"/>
      <c r="NMH1" s="68"/>
      <c r="NMI1" s="68"/>
      <c r="NMJ1" s="68"/>
      <c r="NMK1" s="68"/>
      <c r="NML1" s="68"/>
      <c r="NMM1" s="68"/>
      <c r="NMN1" s="68"/>
      <c r="NMO1" s="68"/>
      <c r="NMP1" s="68"/>
      <c r="NMQ1" s="68"/>
      <c r="NMR1" s="68"/>
      <c r="NMS1" s="68"/>
      <c r="NMT1" s="68"/>
      <c r="NMU1" s="68"/>
      <c r="NMV1" s="68"/>
      <c r="NMW1" s="68"/>
      <c r="NMX1" s="68"/>
      <c r="NMY1" s="68"/>
      <c r="NMZ1" s="68"/>
      <c r="NNA1" s="68"/>
      <c r="NNB1" s="68"/>
      <c r="NNC1" s="68"/>
      <c r="NND1" s="68"/>
      <c r="NNE1" s="68"/>
      <c r="NNF1" s="68"/>
      <c r="NNG1" s="68"/>
      <c r="NNH1" s="68"/>
      <c r="NNI1" s="68"/>
      <c r="NNJ1" s="68"/>
      <c r="NNK1" s="68"/>
      <c r="NNL1" s="68"/>
      <c r="NNM1" s="68"/>
      <c r="NNN1" s="68"/>
      <c r="NNO1" s="68"/>
      <c r="NNP1" s="68"/>
      <c r="NNQ1" s="68"/>
      <c r="NNR1" s="68"/>
      <c r="NNS1" s="68"/>
      <c r="NNT1" s="68"/>
      <c r="NNU1" s="68"/>
      <c r="NNV1" s="68"/>
      <c r="NNW1" s="68"/>
      <c r="NNX1" s="68"/>
      <c r="NNY1" s="68"/>
      <c r="NNZ1" s="68"/>
      <c r="NOA1" s="68"/>
      <c r="NOB1" s="68"/>
      <c r="NOC1" s="68"/>
      <c r="NOD1" s="68"/>
      <c r="NOE1" s="68"/>
      <c r="NOF1" s="68"/>
      <c r="NOG1" s="68"/>
      <c r="NOH1" s="68"/>
      <c r="NOI1" s="68"/>
      <c r="NOJ1" s="68"/>
      <c r="NOK1" s="68"/>
      <c r="NOL1" s="68"/>
      <c r="NOM1" s="68"/>
      <c r="NON1" s="68"/>
      <c r="NOO1" s="68"/>
      <c r="NOP1" s="68"/>
      <c r="NOQ1" s="68"/>
      <c r="NOR1" s="68"/>
      <c r="NOS1" s="68"/>
      <c r="NOT1" s="68"/>
      <c r="NOU1" s="68"/>
      <c r="NOV1" s="68"/>
      <c r="NOW1" s="68"/>
      <c r="NOX1" s="68"/>
      <c r="NOY1" s="68"/>
      <c r="NOZ1" s="68"/>
      <c r="NPA1" s="68"/>
      <c r="NPB1" s="68"/>
      <c r="NPC1" s="68"/>
      <c r="NPD1" s="68"/>
      <c r="NPE1" s="68"/>
      <c r="NPF1" s="68"/>
      <c r="NPG1" s="68"/>
      <c r="NPH1" s="68"/>
      <c r="NPI1" s="68"/>
      <c r="NPJ1" s="68"/>
      <c r="NPK1" s="68"/>
      <c r="NPL1" s="68"/>
      <c r="NPM1" s="68"/>
      <c r="NPN1" s="68"/>
      <c r="NPO1" s="68"/>
      <c r="NPP1" s="68"/>
      <c r="NPQ1" s="68"/>
      <c r="NPR1" s="68"/>
      <c r="NPS1" s="68"/>
      <c r="NPT1" s="68"/>
      <c r="NPU1" s="68"/>
      <c r="NPV1" s="68"/>
      <c r="NPW1" s="68"/>
      <c r="NPX1" s="68"/>
      <c r="NPY1" s="68"/>
      <c r="NPZ1" s="68"/>
      <c r="NQA1" s="68"/>
      <c r="NQB1" s="68"/>
      <c r="NQC1" s="68"/>
      <c r="NQD1" s="68"/>
      <c r="NQE1" s="68"/>
      <c r="NQF1" s="68"/>
      <c r="NQG1" s="68"/>
      <c r="NQH1" s="68"/>
      <c r="NQI1" s="68"/>
      <c r="NQJ1" s="68"/>
      <c r="NQK1" s="68"/>
      <c r="NQL1" s="68"/>
      <c r="NQM1" s="68"/>
      <c r="NQN1" s="68"/>
      <c r="NQO1" s="68"/>
      <c r="NQP1" s="68"/>
      <c r="NQQ1" s="68"/>
      <c r="NQR1" s="68"/>
      <c r="NQS1" s="68"/>
      <c r="NQT1" s="68"/>
      <c r="NQU1" s="68"/>
      <c r="NQV1" s="68"/>
      <c r="NQW1" s="68"/>
      <c r="NQX1" s="68"/>
      <c r="NQY1" s="68"/>
      <c r="NQZ1" s="68"/>
      <c r="NRA1" s="68"/>
      <c r="NRB1" s="68"/>
      <c r="NRC1" s="68"/>
      <c r="NRD1" s="68"/>
      <c r="NRE1" s="68"/>
      <c r="NRF1" s="68"/>
      <c r="NRG1" s="68"/>
      <c r="NRH1" s="68"/>
      <c r="NRI1" s="68"/>
      <c r="NRJ1" s="68"/>
      <c r="NRK1" s="68"/>
      <c r="NRL1" s="68"/>
      <c r="NRM1" s="68"/>
      <c r="NRN1" s="68"/>
      <c r="NRO1" s="68"/>
      <c r="NRP1" s="68"/>
      <c r="NRQ1" s="68"/>
      <c r="NRR1" s="68"/>
      <c r="NRS1" s="68"/>
      <c r="NRT1" s="68"/>
      <c r="NRU1" s="68"/>
      <c r="NRV1" s="68"/>
      <c r="NRW1" s="68"/>
      <c r="NRX1" s="68"/>
      <c r="NRY1" s="68"/>
      <c r="NRZ1" s="68"/>
      <c r="NSA1" s="68"/>
      <c r="NSB1" s="68"/>
      <c r="NSC1" s="68"/>
      <c r="NSD1" s="68"/>
      <c r="NSE1" s="68"/>
      <c r="NSF1" s="68"/>
      <c r="NSG1" s="68"/>
      <c r="NSH1" s="68"/>
      <c r="NSI1" s="68"/>
      <c r="NSJ1" s="68"/>
      <c r="NSK1" s="68"/>
      <c r="NSL1" s="68"/>
      <c r="NSM1" s="68"/>
      <c r="NSN1" s="68"/>
      <c r="NSO1" s="68"/>
      <c r="NSP1" s="68"/>
      <c r="NSQ1" s="68"/>
      <c r="NSR1" s="68"/>
      <c r="NSS1" s="68"/>
      <c r="NST1" s="68"/>
      <c r="NSU1" s="68"/>
      <c r="NSV1" s="68"/>
      <c r="NSW1" s="68"/>
      <c r="NSX1" s="68"/>
      <c r="NSY1" s="68"/>
      <c r="NSZ1" s="68"/>
      <c r="NTA1" s="68"/>
      <c r="NTB1" s="68"/>
      <c r="NTC1" s="68"/>
      <c r="NTD1" s="68"/>
      <c r="NTE1" s="68"/>
      <c r="NTF1" s="68"/>
      <c r="NTG1" s="68"/>
      <c r="NTH1" s="68"/>
      <c r="NTI1" s="68"/>
      <c r="NTJ1" s="68"/>
      <c r="NTK1" s="68"/>
      <c r="NTL1" s="68"/>
      <c r="NTM1" s="68"/>
      <c r="NTN1" s="68"/>
      <c r="NTO1" s="68"/>
      <c r="NTP1" s="68"/>
      <c r="NTQ1" s="68"/>
      <c r="NTR1" s="68"/>
      <c r="NTS1" s="68"/>
      <c r="NTT1" s="68"/>
      <c r="NTU1" s="68"/>
      <c r="NTV1" s="68"/>
      <c r="NTW1" s="68"/>
      <c r="NTX1" s="68"/>
      <c r="NTY1" s="68"/>
      <c r="NTZ1" s="68"/>
      <c r="NUA1" s="68"/>
      <c r="NUB1" s="68"/>
      <c r="NUC1" s="68"/>
      <c r="NUD1" s="68"/>
      <c r="NUE1" s="68"/>
      <c r="NUF1" s="68"/>
      <c r="NUG1" s="68"/>
      <c r="NUH1" s="68"/>
      <c r="NUI1" s="68"/>
      <c r="NUJ1" s="68"/>
      <c r="NUK1" s="68"/>
      <c r="NUL1" s="68"/>
      <c r="NUM1" s="68"/>
      <c r="NUN1" s="68"/>
      <c r="NUO1" s="68"/>
      <c r="NUP1" s="68"/>
      <c r="NUQ1" s="68"/>
      <c r="NUR1" s="68"/>
      <c r="NUS1" s="68"/>
      <c r="NUT1" s="68"/>
      <c r="NUU1" s="68"/>
      <c r="NUV1" s="68"/>
      <c r="NUW1" s="68"/>
      <c r="NUX1" s="68"/>
      <c r="NUY1" s="68"/>
      <c r="NUZ1" s="68"/>
      <c r="NVA1" s="68"/>
      <c r="NVB1" s="68"/>
      <c r="NVC1" s="68"/>
      <c r="NVD1" s="68"/>
      <c r="NVE1" s="68"/>
      <c r="NVF1" s="68"/>
      <c r="NVG1" s="68"/>
      <c r="NVH1" s="68"/>
      <c r="NVI1" s="68"/>
      <c r="NVJ1" s="68"/>
      <c r="NVK1" s="68"/>
      <c r="NVL1" s="68"/>
      <c r="NVM1" s="68"/>
      <c r="NVN1" s="68"/>
      <c r="NVO1" s="68"/>
      <c r="NVP1" s="68"/>
      <c r="NVQ1" s="68"/>
      <c r="NVR1" s="68"/>
      <c r="NVS1" s="68"/>
      <c r="NVT1" s="68"/>
      <c r="NVU1" s="68"/>
      <c r="NVV1" s="68"/>
      <c r="NVW1" s="68"/>
      <c r="NVX1" s="68"/>
      <c r="NVY1" s="68"/>
      <c r="NVZ1" s="68"/>
      <c r="NWA1" s="68"/>
      <c r="NWB1" s="68"/>
      <c r="NWC1" s="68"/>
      <c r="NWD1" s="68"/>
      <c r="NWE1" s="68"/>
      <c r="NWF1" s="68"/>
      <c r="NWG1" s="68"/>
      <c r="NWH1" s="68"/>
      <c r="NWI1" s="68"/>
      <c r="NWJ1" s="68"/>
      <c r="NWK1" s="68"/>
      <c r="NWL1" s="68"/>
      <c r="NWM1" s="68"/>
      <c r="NWN1" s="68"/>
      <c r="NWO1" s="68"/>
      <c r="NWP1" s="68"/>
      <c r="NWQ1" s="68"/>
      <c r="NWR1" s="68"/>
      <c r="NWS1" s="68"/>
      <c r="NWT1" s="68"/>
      <c r="NWU1" s="68"/>
      <c r="NWV1" s="68"/>
      <c r="NWW1" s="68"/>
      <c r="NWX1" s="68"/>
      <c r="NWY1" s="68"/>
      <c r="NWZ1" s="68"/>
      <c r="NXA1" s="68"/>
      <c r="NXB1" s="68"/>
      <c r="NXC1" s="68"/>
      <c r="NXD1" s="68"/>
      <c r="NXE1" s="68"/>
      <c r="NXF1" s="68"/>
      <c r="NXG1" s="68"/>
      <c r="NXH1" s="68"/>
      <c r="NXI1" s="68"/>
      <c r="NXJ1" s="68"/>
      <c r="NXK1" s="68"/>
      <c r="NXL1" s="68"/>
      <c r="NXM1" s="68"/>
      <c r="NXN1" s="68"/>
      <c r="NXO1" s="68"/>
      <c r="NXP1" s="68"/>
      <c r="NXQ1" s="68"/>
      <c r="NXR1" s="68"/>
      <c r="NXS1" s="68"/>
      <c r="NXT1" s="68"/>
      <c r="NXU1" s="68"/>
      <c r="NXV1" s="68"/>
      <c r="NXW1" s="68"/>
      <c r="NXX1" s="68"/>
      <c r="NXY1" s="68"/>
      <c r="NXZ1" s="68"/>
      <c r="NYA1" s="68"/>
      <c r="NYB1" s="68"/>
      <c r="NYC1" s="68"/>
      <c r="NYD1" s="68"/>
      <c r="NYE1" s="68"/>
      <c r="NYF1" s="68"/>
      <c r="NYG1" s="68"/>
      <c r="NYH1" s="68"/>
      <c r="NYI1" s="68"/>
      <c r="NYJ1" s="68"/>
      <c r="NYK1" s="68"/>
      <c r="NYL1" s="68"/>
      <c r="NYM1" s="68"/>
      <c r="NYN1" s="68"/>
      <c r="NYO1" s="68"/>
      <c r="NYP1" s="68"/>
      <c r="NYQ1" s="68"/>
      <c r="NYR1" s="68"/>
      <c r="NYS1" s="68"/>
      <c r="NYT1" s="68"/>
      <c r="NYU1" s="68"/>
      <c r="NYV1" s="68"/>
      <c r="NYW1" s="68"/>
      <c r="NYX1" s="68"/>
      <c r="NYY1" s="68"/>
      <c r="NYZ1" s="68"/>
      <c r="NZA1" s="68"/>
      <c r="NZB1" s="68"/>
      <c r="NZC1" s="68"/>
      <c r="NZD1" s="68"/>
      <c r="NZE1" s="68"/>
      <c r="NZF1" s="68"/>
      <c r="NZG1" s="68"/>
      <c r="NZH1" s="68"/>
      <c r="NZI1" s="68"/>
      <c r="NZJ1" s="68"/>
      <c r="NZK1" s="68"/>
      <c r="NZL1" s="68"/>
      <c r="NZM1" s="68"/>
      <c r="NZN1" s="68"/>
      <c r="NZO1" s="68"/>
      <c r="NZP1" s="68"/>
      <c r="NZQ1" s="68"/>
      <c r="NZR1" s="68"/>
      <c r="NZS1" s="68"/>
      <c r="NZT1" s="68"/>
      <c r="NZU1" s="68"/>
      <c r="NZV1" s="68"/>
      <c r="NZW1" s="68"/>
      <c r="NZX1" s="68"/>
      <c r="NZY1" s="68"/>
      <c r="NZZ1" s="68"/>
      <c r="OAA1" s="68"/>
      <c r="OAB1" s="68"/>
      <c r="OAC1" s="68"/>
      <c r="OAD1" s="68"/>
      <c r="OAE1" s="68"/>
      <c r="OAF1" s="68"/>
      <c r="OAG1" s="68"/>
      <c r="OAH1" s="68"/>
      <c r="OAI1" s="68"/>
      <c r="OAJ1" s="68"/>
      <c r="OAK1" s="68"/>
      <c r="OAL1" s="68"/>
      <c r="OAM1" s="68"/>
      <c r="OAN1" s="68"/>
      <c r="OAO1" s="68"/>
      <c r="OAP1" s="68"/>
      <c r="OAQ1" s="68"/>
      <c r="OAR1" s="68"/>
      <c r="OAS1" s="68"/>
      <c r="OAT1" s="68"/>
      <c r="OAU1" s="68"/>
      <c r="OAV1" s="68"/>
      <c r="OAW1" s="68"/>
      <c r="OAX1" s="68"/>
      <c r="OAY1" s="68"/>
      <c r="OAZ1" s="68"/>
      <c r="OBA1" s="68"/>
      <c r="OBB1" s="68"/>
      <c r="OBC1" s="68"/>
      <c r="OBD1" s="68"/>
      <c r="OBE1" s="68"/>
      <c r="OBF1" s="68"/>
      <c r="OBG1" s="68"/>
      <c r="OBH1" s="68"/>
      <c r="OBI1" s="68"/>
      <c r="OBJ1" s="68"/>
      <c r="OBK1" s="68"/>
      <c r="OBL1" s="68"/>
      <c r="OBM1" s="68"/>
      <c r="OBN1" s="68"/>
      <c r="OBO1" s="68"/>
      <c r="OBP1" s="68"/>
      <c r="OBQ1" s="68"/>
      <c r="OBR1" s="68"/>
      <c r="OBS1" s="68"/>
      <c r="OBT1" s="68"/>
      <c r="OBU1" s="68"/>
      <c r="OBV1" s="68"/>
      <c r="OBW1" s="68"/>
      <c r="OBX1" s="68"/>
      <c r="OBY1" s="68"/>
      <c r="OBZ1" s="68"/>
      <c r="OCA1" s="68"/>
      <c r="OCB1" s="68"/>
      <c r="OCC1" s="68"/>
      <c r="OCD1" s="68"/>
      <c r="OCE1" s="68"/>
      <c r="OCF1" s="68"/>
      <c r="OCG1" s="68"/>
      <c r="OCH1" s="68"/>
      <c r="OCI1" s="68"/>
      <c r="OCJ1" s="68"/>
      <c r="OCK1" s="68"/>
      <c r="OCL1" s="68"/>
      <c r="OCM1" s="68"/>
      <c r="OCN1" s="68"/>
      <c r="OCO1" s="68"/>
      <c r="OCP1" s="68"/>
      <c r="OCQ1" s="68"/>
      <c r="OCR1" s="68"/>
      <c r="OCS1" s="68"/>
      <c r="OCT1" s="68"/>
      <c r="OCU1" s="68"/>
      <c r="OCV1" s="68"/>
      <c r="OCW1" s="68"/>
      <c r="OCX1" s="68"/>
      <c r="OCY1" s="68"/>
      <c r="OCZ1" s="68"/>
      <c r="ODA1" s="68"/>
      <c r="ODB1" s="68"/>
      <c r="ODC1" s="68"/>
      <c r="ODD1" s="68"/>
      <c r="ODE1" s="68"/>
      <c r="ODF1" s="68"/>
      <c r="ODG1" s="68"/>
      <c r="ODH1" s="68"/>
      <c r="ODI1" s="68"/>
      <c r="ODJ1" s="68"/>
      <c r="ODK1" s="68"/>
      <c r="ODL1" s="68"/>
      <c r="ODM1" s="68"/>
      <c r="ODN1" s="68"/>
      <c r="ODO1" s="68"/>
      <c r="ODP1" s="68"/>
      <c r="ODQ1" s="68"/>
      <c r="ODR1" s="68"/>
      <c r="ODS1" s="68"/>
      <c r="ODT1" s="68"/>
      <c r="ODU1" s="68"/>
      <c r="ODV1" s="68"/>
      <c r="ODW1" s="68"/>
      <c r="ODX1" s="68"/>
      <c r="ODY1" s="68"/>
      <c r="ODZ1" s="68"/>
      <c r="OEA1" s="68"/>
      <c r="OEB1" s="68"/>
      <c r="OEC1" s="68"/>
      <c r="OED1" s="68"/>
      <c r="OEE1" s="68"/>
      <c r="OEF1" s="68"/>
      <c r="OEG1" s="68"/>
      <c r="OEH1" s="68"/>
      <c r="OEI1" s="68"/>
      <c r="OEJ1" s="68"/>
      <c r="OEK1" s="68"/>
      <c r="OEL1" s="68"/>
      <c r="OEM1" s="68"/>
      <c r="OEN1" s="68"/>
      <c r="OEO1" s="68"/>
      <c r="OEP1" s="68"/>
      <c r="OEQ1" s="68"/>
      <c r="OER1" s="68"/>
      <c r="OES1" s="68"/>
      <c r="OET1" s="68"/>
      <c r="OEU1" s="68"/>
      <c r="OEV1" s="68"/>
      <c r="OEW1" s="68"/>
      <c r="OEX1" s="68"/>
      <c r="OEY1" s="68"/>
      <c r="OEZ1" s="68"/>
      <c r="OFA1" s="68"/>
      <c r="OFB1" s="68"/>
      <c r="OFC1" s="68"/>
      <c r="OFD1" s="68"/>
      <c r="OFE1" s="68"/>
      <c r="OFF1" s="68"/>
      <c r="OFG1" s="68"/>
      <c r="OFH1" s="68"/>
      <c r="OFI1" s="68"/>
      <c r="OFJ1" s="68"/>
      <c r="OFK1" s="68"/>
      <c r="OFL1" s="68"/>
      <c r="OFM1" s="68"/>
      <c r="OFN1" s="68"/>
      <c r="OFO1" s="68"/>
      <c r="OFP1" s="68"/>
      <c r="OFQ1" s="68"/>
      <c r="OFR1" s="68"/>
      <c r="OFS1" s="68"/>
      <c r="OFT1" s="68"/>
      <c r="OFU1" s="68"/>
      <c r="OFV1" s="68"/>
      <c r="OFW1" s="68"/>
      <c r="OFX1" s="68"/>
      <c r="OFY1" s="68"/>
      <c r="OFZ1" s="68"/>
      <c r="OGA1" s="68"/>
      <c r="OGB1" s="68"/>
      <c r="OGC1" s="68"/>
      <c r="OGD1" s="68"/>
      <c r="OGE1" s="68"/>
      <c r="OGF1" s="68"/>
      <c r="OGG1" s="68"/>
      <c r="OGH1" s="68"/>
      <c r="OGI1" s="68"/>
      <c r="OGJ1" s="68"/>
      <c r="OGK1" s="68"/>
      <c r="OGL1" s="68"/>
      <c r="OGM1" s="68"/>
      <c r="OGN1" s="68"/>
      <c r="OGO1" s="68"/>
      <c r="OGP1" s="68"/>
      <c r="OGQ1" s="68"/>
      <c r="OGR1" s="68"/>
      <c r="OGS1" s="68"/>
      <c r="OGT1" s="68"/>
      <c r="OGU1" s="68"/>
      <c r="OGV1" s="68"/>
      <c r="OGW1" s="68"/>
      <c r="OGX1" s="68"/>
      <c r="OGY1" s="68"/>
      <c r="OGZ1" s="68"/>
      <c r="OHA1" s="68"/>
      <c r="OHB1" s="68"/>
      <c r="OHC1" s="68"/>
      <c r="OHD1" s="68"/>
      <c r="OHE1" s="68"/>
      <c r="OHF1" s="68"/>
      <c r="OHG1" s="68"/>
      <c r="OHH1" s="68"/>
      <c r="OHI1" s="68"/>
      <c r="OHJ1" s="68"/>
      <c r="OHK1" s="68"/>
      <c r="OHL1" s="68"/>
      <c r="OHM1" s="68"/>
      <c r="OHN1" s="68"/>
      <c r="OHO1" s="68"/>
      <c r="OHP1" s="68"/>
      <c r="OHQ1" s="68"/>
      <c r="OHR1" s="68"/>
      <c r="OHS1" s="68"/>
      <c r="OHT1" s="68"/>
      <c r="OHU1" s="68"/>
      <c r="OHV1" s="68"/>
      <c r="OHW1" s="68"/>
      <c r="OHX1" s="68"/>
      <c r="OHY1" s="68"/>
      <c r="OHZ1" s="68"/>
      <c r="OIA1" s="68"/>
      <c r="OIB1" s="68"/>
      <c r="OIC1" s="68"/>
      <c r="OID1" s="68"/>
      <c r="OIE1" s="68"/>
      <c r="OIF1" s="68"/>
      <c r="OIG1" s="68"/>
      <c r="OIH1" s="68"/>
      <c r="OII1" s="68"/>
      <c r="OIJ1" s="68"/>
      <c r="OIK1" s="68"/>
      <c r="OIL1" s="68"/>
      <c r="OIM1" s="68"/>
      <c r="OIN1" s="68"/>
      <c r="OIO1" s="68"/>
      <c r="OIP1" s="68"/>
      <c r="OIQ1" s="68"/>
      <c r="OIR1" s="68"/>
      <c r="OIS1" s="68"/>
      <c r="OIT1" s="68"/>
      <c r="OIU1" s="68"/>
      <c r="OIV1" s="68"/>
      <c r="OIW1" s="68"/>
      <c r="OIX1" s="68"/>
      <c r="OIY1" s="68"/>
      <c r="OIZ1" s="68"/>
      <c r="OJA1" s="68"/>
      <c r="OJB1" s="68"/>
      <c r="OJC1" s="68"/>
      <c r="OJD1" s="68"/>
      <c r="OJE1" s="68"/>
      <c r="OJF1" s="68"/>
      <c r="OJG1" s="68"/>
      <c r="OJH1" s="68"/>
      <c r="OJI1" s="68"/>
      <c r="OJJ1" s="68"/>
      <c r="OJK1" s="68"/>
      <c r="OJL1" s="68"/>
      <c r="OJM1" s="68"/>
      <c r="OJN1" s="68"/>
      <c r="OJO1" s="68"/>
      <c r="OJP1" s="68"/>
      <c r="OJQ1" s="68"/>
      <c r="OJR1" s="68"/>
      <c r="OJS1" s="68"/>
      <c r="OJT1" s="68"/>
      <c r="OJU1" s="68"/>
      <c r="OJV1" s="68"/>
      <c r="OJW1" s="68"/>
      <c r="OJX1" s="68"/>
      <c r="OJY1" s="68"/>
      <c r="OJZ1" s="68"/>
      <c r="OKA1" s="68"/>
      <c r="OKB1" s="68"/>
      <c r="OKC1" s="68"/>
      <c r="OKD1" s="68"/>
      <c r="OKE1" s="68"/>
      <c r="OKF1" s="68"/>
      <c r="OKG1" s="68"/>
      <c r="OKH1" s="68"/>
      <c r="OKI1" s="68"/>
      <c r="OKJ1" s="68"/>
      <c r="OKK1" s="68"/>
      <c r="OKL1" s="68"/>
      <c r="OKM1" s="68"/>
      <c r="OKN1" s="68"/>
      <c r="OKO1" s="68"/>
      <c r="OKP1" s="68"/>
      <c r="OKQ1" s="68"/>
      <c r="OKR1" s="68"/>
      <c r="OKS1" s="68"/>
      <c r="OKT1" s="68"/>
      <c r="OKU1" s="68"/>
      <c r="OKV1" s="68"/>
      <c r="OKW1" s="68"/>
      <c r="OKX1" s="68"/>
      <c r="OKY1" s="68"/>
      <c r="OKZ1" s="68"/>
      <c r="OLA1" s="68"/>
      <c r="OLB1" s="68"/>
      <c r="OLC1" s="68"/>
      <c r="OLD1" s="68"/>
      <c r="OLE1" s="68"/>
      <c r="OLF1" s="68"/>
      <c r="OLG1" s="68"/>
      <c r="OLH1" s="68"/>
      <c r="OLI1" s="68"/>
      <c r="OLJ1" s="68"/>
      <c r="OLK1" s="68"/>
      <c r="OLL1" s="68"/>
      <c r="OLM1" s="68"/>
      <c r="OLN1" s="68"/>
      <c r="OLO1" s="68"/>
      <c r="OLP1" s="68"/>
      <c r="OLQ1" s="68"/>
      <c r="OLR1" s="68"/>
      <c r="OLS1" s="68"/>
      <c r="OLT1" s="68"/>
      <c r="OLU1" s="68"/>
      <c r="OLV1" s="68"/>
      <c r="OLW1" s="68"/>
      <c r="OLX1" s="68"/>
      <c r="OLY1" s="68"/>
      <c r="OLZ1" s="68"/>
      <c r="OMA1" s="68"/>
      <c r="OMB1" s="68"/>
      <c r="OMC1" s="68"/>
      <c r="OMD1" s="68"/>
      <c r="OME1" s="68"/>
      <c r="OMF1" s="68"/>
      <c r="OMG1" s="68"/>
      <c r="OMH1" s="68"/>
      <c r="OMI1" s="68"/>
      <c r="OMJ1" s="68"/>
      <c r="OMK1" s="68"/>
      <c r="OML1" s="68"/>
      <c r="OMM1" s="68"/>
      <c r="OMN1" s="68"/>
      <c r="OMO1" s="68"/>
      <c r="OMP1" s="68"/>
      <c r="OMQ1" s="68"/>
      <c r="OMR1" s="68"/>
      <c r="OMS1" s="68"/>
      <c r="OMT1" s="68"/>
      <c r="OMU1" s="68"/>
      <c r="OMV1" s="68"/>
      <c r="OMW1" s="68"/>
      <c r="OMX1" s="68"/>
      <c r="OMY1" s="68"/>
      <c r="OMZ1" s="68"/>
      <c r="ONA1" s="68"/>
      <c r="ONB1" s="68"/>
      <c r="ONC1" s="68"/>
      <c r="OND1" s="68"/>
      <c r="ONE1" s="68"/>
      <c r="ONF1" s="68"/>
      <c r="ONG1" s="68"/>
      <c r="ONH1" s="68"/>
      <c r="ONI1" s="68"/>
      <c r="ONJ1" s="68"/>
      <c r="ONK1" s="68"/>
      <c r="ONL1" s="68"/>
      <c r="ONM1" s="68"/>
      <c r="ONN1" s="68"/>
      <c r="ONO1" s="68"/>
      <c r="ONP1" s="68"/>
      <c r="ONQ1" s="68"/>
      <c r="ONR1" s="68"/>
      <c r="ONS1" s="68"/>
      <c r="ONT1" s="68"/>
      <c r="ONU1" s="68"/>
      <c r="ONV1" s="68"/>
      <c r="ONW1" s="68"/>
      <c r="ONX1" s="68"/>
      <c r="ONY1" s="68"/>
      <c r="ONZ1" s="68"/>
      <c r="OOA1" s="68"/>
      <c r="OOB1" s="68"/>
      <c r="OOC1" s="68"/>
      <c r="OOD1" s="68"/>
      <c r="OOE1" s="68"/>
      <c r="OOF1" s="68"/>
      <c r="OOG1" s="68"/>
      <c r="OOH1" s="68"/>
      <c r="OOI1" s="68"/>
      <c r="OOJ1" s="68"/>
      <c r="OOK1" s="68"/>
      <c r="OOL1" s="68"/>
      <c r="OOM1" s="68"/>
      <c r="OON1" s="68"/>
      <c r="OOO1" s="68"/>
      <c r="OOP1" s="68"/>
      <c r="OOQ1" s="68"/>
      <c r="OOR1" s="68"/>
      <c r="OOS1" s="68"/>
      <c r="OOT1" s="68"/>
      <c r="OOU1" s="68"/>
      <c r="OOV1" s="68"/>
      <c r="OOW1" s="68"/>
      <c r="OOX1" s="68"/>
      <c r="OOY1" s="68"/>
      <c r="OOZ1" s="68"/>
      <c r="OPA1" s="68"/>
      <c r="OPB1" s="68"/>
      <c r="OPC1" s="68"/>
      <c r="OPD1" s="68"/>
      <c r="OPE1" s="68"/>
      <c r="OPF1" s="68"/>
      <c r="OPG1" s="68"/>
      <c r="OPH1" s="68"/>
      <c r="OPI1" s="68"/>
      <c r="OPJ1" s="68"/>
      <c r="OPK1" s="68"/>
      <c r="OPL1" s="68"/>
      <c r="OPM1" s="68"/>
      <c r="OPN1" s="68"/>
      <c r="OPO1" s="68"/>
      <c r="OPP1" s="68"/>
      <c r="OPQ1" s="68"/>
      <c r="OPR1" s="68"/>
      <c r="OPS1" s="68"/>
      <c r="OPT1" s="68"/>
      <c r="OPU1" s="68"/>
      <c r="OPV1" s="68"/>
      <c r="OPW1" s="68"/>
      <c r="OPX1" s="68"/>
      <c r="OPY1" s="68"/>
      <c r="OPZ1" s="68"/>
      <c r="OQA1" s="68"/>
      <c r="OQB1" s="68"/>
      <c r="OQC1" s="68"/>
      <c r="OQD1" s="68"/>
      <c r="OQE1" s="68"/>
      <c r="OQF1" s="68"/>
      <c r="OQG1" s="68"/>
      <c r="OQH1" s="68"/>
      <c r="OQI1" s="68"/>
      <c r="OQJ1" s="68"/>
      <c r="OQK1" s="68"/>
      <c r="OQL1" s="68"/>
      <c r="OQM1" s="68"/>
      <c r="OQN1" s="68"/>
      <c r="OQO1" s="68"/>
      <c r="OQP1" s="68"/>
      <c r="OQQ1" s="68"/>
      <c r="OQR1" s="68"/>
      <c r="OQS1" s="68"/>
      <c r="OQT1" s="68"/>
      <c r="OQU1" s="68"/>
      <c r="OQV1" s="68"/>
      <c r="OQW1" s="68"/>
      <c r="OQX1" s="68"/>
      <c r="OQY1" s="68"/>
      <c r="OQZ1" s="68"/>
      <c r="ORA1" s="68"/>
      <c r="ORB1" s="68"/>
      <c r="ORC1" s="68"/>
      <c r="ORD1" s="68"/>
      <c r="ORE1" s="68"/>
      <c r="ORF1" s="68"/>
      <c r="ORG1" s="68"/>
      <c r="ORH1" s="68"/>
      <c r="ORI1" s="68"/>
      <c r="ORJ1" s="68"/>
      <c r="ORK1" s="68"/>
      <c r="ORL1" s="68"/>
      <c r="ORM1" s="68"/>
      <c r="ORN1" s="68"/>
      <c r="ORO1" s="68"/>
      <c r="ORP1" s="68"/>
      <c r="ORQ1" s="68"/>
      <c r="ORR1" s="68"/>
      <c r="ORS1" s="68"/>
      <c r="ORT1" s="68"/>
      <c r="ORU1" s="68"/>
      <c r="ORV1" s="68"/>
      <c r="ORW1" s="68"/>
      <c r="ORX1" s="68"/>
      <c r="ORY1" s="68"/>
      <c r="ORZ1" s="68"/>
      <c r="OSA1" s="68"/>
      <c r="OSB1" s="68"/>
      <c r="OSC1" s="68"/>
      <c r="OSD1" s="68"/>
      <c r="OSE1" s="68"/>
      <c r="OSF1" s="68"/>
      <c r="OSG1" s="68"/>
      <c r="OSH1" s="68"/>
      <c r="OSI1" s="68"/>
      <c r="OSJ1" s="68"/>
      <c r="OSK1" s="68"/>
      <c r="OSL1" s="68"/>
      <c r="OSM1" s="68"/>
      <c r="OSN1" s="68"/>
      <c r="OSO1" s="68"/>
      <c r="OSP1" s="68"/>
      <c r="OSQ1" s="68"/>
      <c r="OSR1" s="68"/>
      <c r="OSS1" s="68"/>
      <c r="OST1" s="68"/>
      <c r="OSU1" s="68"/>
      <c r="OSV1" s="68"/>
      <c r="OSW1" s="68"/>
      <c r="OSX1" s="68"/>
      <c r="OSY1" s="68"/>
      <c r="OSZ1" s="68"/>
      <c r="OTA1" s="68"/>
      <c r="OTB1" s="68"/>
      <c r="OTC1" s="68"/>
      <c r="OTD1" s="68"/>
      <c r="OTE1" s="68"/>
      <c r="OTF1" s="68"/>
      <c r="OTG1" s="68"/>
      <c r="OTH1" s="68"/>
      <c r="OTI1" s="68"/>
      <c r="OTJ1" s="68"/>
      <c r="OTK1" s="68"/>
      <c r="OTL1" s="68"/>
      <c r="OTM1" s="68"/>
      <c r="OTN1" s="68"/>
      <c r="OTO1" s="68"/>
      <c r="OTP1" s="68"/>
      <c r="OTQ1" s="68"/>
      <c r="OTR1" s="68"/>
      <c r="OTS1" s="68"/>
      <c r="OTT1" s="68"/>
      <c r="OTU1" s="68"/>
      <c r="OTV1" s="68"/>
      <c r="OTW1" s="68"/>
      <c r="OTX1" s="68"/>
      <c r="OTY1" s="68"/>
      <c r="OTZ1" s="68"/>
      <c r="OUA1" s="68"/>
      <c r="OUB1" s="68"/>
      <c r="OUC1" s="68"/>
      <c r="OUD1" s="68"/>
      <c r="OUE1" s="68"/>
      <c r="OUF1" s="68"/>
      <c r="OUG1" s="68"/>
      <c r="OUH1" s="68"/>
      <c r="OUI1" s="68"/>
      <c r="OUJ1" s="68"/>
      <c r="OUK1" s="68"/>
      <c r="OUL1" s="68"/>
      <c r="OUM1" s="68"/>
      <c r="OUN1" s="68"/>
      <c r="OUO1" s="68"/>
      <c r="OUP1" s="68"/>
      <c r="OUQ1" s="68"/>
      <c r="OUR1" s="68"/>
      <c r="OUS1" s="68"/>
      <c r="OUT1" s="68"/>
      <c r="OUU1" s="68"/>
      <c r="OUV1" s="68"/>
      <c r="OUW1" s="68"/>
      <c r="OUX1" s="68"/>
      <c r="OUY1" s="68"/>
      <c r="OUZ1" s="68"/>
      <c r="OVA1" s="68"/>
      <c r="OVB1" s="68"/>
      <c r="OVC1" s="68"/>
      <c r="OVD1" s="68"/>
      <c r="OVE1" s="68"/>
      <c r="OVF1" s="68"/>
      <c r="OVG1" s="68"/>
      <c r="OVH1" s="68"/>
      <c r="OVI1" s="68"/>
      <c r="OVJ1" s="68"/>
      <c r="OVK1" s="68"/>
      <c r="OVL1" s="68"/>
      <c r="OVM1" s="68"/>
      <c r="OVN1" s="68"/>
      <c r="OVO1" s="68"/>
      <c r="OVP1" s="68"/>
      <c r="OVQ1" s="68"/>
      <c r="OVR1" s="68"/>
      <c r="OVS1" s="68"/>
      <c r="OVT1" s="68"/>
      <c r="OVU1" s="68"/>
      <c r="OVV1" s="68"/>
      <c r="OVW1" s="68"/>
      <c r="OVX1" s="68"/>
      <c r="OVY1" s="68"/>
      <c r="OVZ1" s="68"/>
      <c r="OWA1" s="68"/>
      <c r="OWB1" s="68"/>
      <c r="OWC1" s="68"/>
      <c r="OWD1" s="68"/>
      <c r="OWE1" s="68"/>
      <c r="OWF1" s="68"/>
      <c r="OWG1" s="68"/>
      <c r="OWH1" s="68"/>
      <c r="OWI1" s="68"/>
      <c r="OWJ1" s="68"/>
      <c r="OWK1" s="68"/>
      <c r="OWL1" s="68"/>
      <c r="OWM1" s="68"/>
      <c r="OWN1" s="68"/>
      <c r="OWO1" s="68"/>
      <c r="OWP1" s="68"/>
      <c r="OWQ1" s="68"/>
      <c r="OWR1" s="68"/>
      <c r="OWS1" s="68"/>
      <c r="OWT1" s="68"/>
      <c r="OWU1" s="68"/>
      <c r="OWV1" s="68"/>
      <c r="OWW1" s="68"/>
      <c r="OWX1" s="68"/>
      <c r="OWY1" s="68"/>
      <c r="OWZ1" s="68"/>
      <c r="OXA1" s="68"/>
      <c r="OXB1" s="68"/>
      <c r="OXC1" s="68"/>
      <c r="OXD1" s="68"/>
      <c r="OXE1" s="68"/>
      <c r="OXF1" s="68"/>
      <c r="OXG1" s="68"/>
      <c r="OXH1" s="68"/>
      <c r="OXI1" s="68"/>
      <c r="OXJ1" s="68"/>
      <c r="OXK1" s="68"/>
      <c r="OXL1" s="68"/>
      <c r="OXM1" s="68"/>
      <c r="OXN1" s="68"/>
      <c r="OXO1" s="68"/>
      <c r="OXP1" s="68"/>
      <c r="OXQ1" s="68"/>
      <c r="OXR1" s="68"/>
      <c r="OXS1" s="68"/>
      <c r="OXT1" s="68"/>
      <c r="OXU1" s="68"/>
      <c r="OXV1" s="68"/>
      <c r="OXW1" s="68"/>
      <c r="OXX1" s="68"/>
      <c r="OXY1" s="68"/>
      <c r="OXZ1" s="68"/>
      <c r="OYA1" s="68"/>
      <c r="OYB1" s="68"/>
      <c r="OYC1" s="68"/>
      <c r="OYD1" s="68"/>
      <c r="OYE1" s="68"/>
      <c r="OYF1" s="68"/>
      <c r="OYG1" s="68"/>
      <c r="OYH1" s="68"/>
      <c r="OYI1" s="68"/>
      <c r="OYJ1" s="68"/>
      <c r="OYK1" s="68"/>
      <c r="OYL1" s="68"/>
      <c r="OYM1" s="68"/>
      <c r="OYN1" s="68"/>
      <c r="OYO1" s="68"/>
      <c r="OYP1" s="68"/>
      <c r="OYQ1" s="68"/>
      <c r="OYR1" s="68"/>
      <c r="OYS1" s="68"/>
      <c r="OYT1" s="68"/>
      <c r="OYU1" s="68"/>
      <c r="OYV1" s="68"/>
      <c r="OYW1" s="68"/>
      <c r="OYX1" s="68"/>
      <c r="OYY1" s="68"/>
      <c r="OYZ1" s="68"/>
      <c r="OZA1" s="68"/>
      <c r="OZB1" s="68"/>
      <c r="OZC1" s="68"/>
      <c r="OZD1" s="68"/>
      <c r="OZE1" s="68"/>
      <c r="OZF1" s="68"/>
      <c r="OZG1" s="68"/>
      <c r="OZH1" s="68"/>
      <c r="OZI1" s="68"/>
      <c r="OZJ1" s="68"/>
      <c r="OZK1" s="68"/>
      <c r="OZL1" s="68"/>
      <c r="OZM1" s="68"/>
      <c r="OZN1" s="68"/>
      <c r="OZO1" s="68"/>
      <c r="OZP1" s="68"/>
      <c r="OZQ1" s="68"/>
      <c r="OZR1" s="68"/>
      <c r="OZS1" s="68"/>
      <c r="OZT1" s="68"/>
      <c r="OZU1" s="68"/>
      <c r="OZV1" s="68"/>
      <c r="OZW1" s="68"/>
      <c r="OZX1" s="68"/>
      <c r="OZY1" s="68"/>
      <c r="OZZ1" s="68"/>
      <c r="PAA1" s="68"/>
      <c r="PAB1" s="68"/>
      <c r="PAC1" s="68"/>
      <c r="PAD1" s="68"/>
      <c r="PAE1" s="68"/>
      <c r="PAF1" s="68"/>
      <c r="PAG1" s="68"/>
      <c r="PAH1" s="68"/>
      <c r="PAI1" s="68"/>
      <c r="PAJ1" s="68"/>
      <c r="PAK1" s="68"/>
      <c r="PAL1" s="68"/>
      <c r="PAM1" s="68"/>
      <c r="PAN1" s="68"/>
      <c r="PAO1" s="68"/>
      <c r="PAP1" s="68"/>
      <c r="PAQ1" s="68"/>
      <c r="PAR1" s="68"/>
      <c r="PAS1" s="68"/>
      <c r="PAT1" s="68"/>
      <c r="PAU1" s="68"/>
      <c r="PAV1" s="68"/>
      <c r="PAW1" s="68"/>
      <c r="PAX1" s="68"/>
      <c r="PAY1" s="68"/>
      <c r="PAZ1" s="68"/>
      <c r="PBA1" s="68"/>
      <c r="PBB1" s="68"/>
      <c r="PBC1" s="68"/>
      <c r="PBD1" s="68"/>
      <c r="PBE1" s="68"/>
      <c r="PBF1" s="68"/>
      <c r="PBG1" s="68"/>
      <c r="PBH1" s="68"/>
      <c r="PBI1" s="68"/>
      <c r="PBJ1" s="68"/>
      <c r="PBK1" s="68"/>
      <c r="PBL1" s="68"/>
      <c r="PBM1" s="68"/>
      <c r="PBN1" s="68"/>
      <c r="PBO1" s="68"/>
      <c r="PBP1" s="68"/>
      <c r="PBQ1" s="68"/>
      <c r="PBR1" s="68"/>
      <c r="PBS1" s="68"/>
      <c r="PBT1" s="68"/>
      <c r="PBU1" s="68"/>
      <c r="PBV1" s="68"/>
      <c r="PBW1" s="68"/>
      <c r="PBX1" s="68"/>
      <c r="PBY1" s="68"/>
      <c r="PBZ1" s="68"/>
      <c r="PCA1" s="68"/>
      <c r="PCB1" s="68"/>
      <c r="PCC1" s="68"/>
      <c r="PCD1" s="68"/>
      <c r="PCE1" s="68"/>
      <c r="PCF1" s="68"/>
      <c r="PCG1" s="68"/>
      <c r="PCH1" s="68"/>
      <c r="PCI1" s="68"/>
      <c r="PCJ1" s="68"/>
      <c r="PCK1" s="68"/>
      <c r="PCL1" s="68"/>
      <c r="PCM1" s="68"/>
      <c r="PCN1" s="68"/>
      <c r="PCO1" s="68"/>
      <c r="PCP1" s="68"/>
      <c r="PCQ1" s="68"/>
      <c r="PCR1" s="68"/>
      <c r="PCS1" s="68"/>
      <c r="PCT1" s="68"/>
      <c r="PCU1" s="68"/>
      <c r="PCV1" s="68"/>
      <c r="PCW1" s="68"/>
      <c r="PCX1" s="68"/>
      <c r="PCY1" s="68"/>
      <c r="PCZ1" s="68"/>
      <c r="PDA1" s="68"/>
      <c r="PDB1" s="68"/>
      <c r="PDC1" s="68"/>
      <c r="PDD1" s="68"/>
      <c r="PDE1" s="68"/>
      <c r="PDF1" s="68"/>
      <c r="PDG1" s="68"/>
      <c r="PDH1" s="68"/>
      <c r="PDI1" s="68"/>
      <c r="PDJ1" s="68"/>
      <c r="PDK1" s="68"/>
      <c r="PDL1" s="68"/>
      <c r="PDM1" s="68"/>
      <c r="PDN1" s="68"/>
      <c r="PDO1" s="68"/>
      <c r="PDP1" s="68"/>
      <c r="PDQ1" s="68"/>
      <c r="PDR1" s="68"/>
      <c r="PDS1" s="68"/>
      <c r="PDT1" s="68"/>
      <c r="PDU1" s="68"/>
      <c r="PDV1" s="68"/>
      <c r="PDW1" s="68"/>
      <c r="PDX1" s="68"/>
      <c r="PDY1" s="68"/>
      <c r="PDZ1" s="68"/>
      <c r="PEA1" s="68"/>
      <c r="PEB1" s="68"/>
      <c r="PEC1" s="68"/>
      <c r="PED1" s="68"/>
      <c r="PEE1" s="68"/>
      <c r="PEF1" s="68"/>
      <c r="PEG1" s="68"/>
      <c r="PEH1" s="68"/>
      <c r="PEI1" s="68"/>
      <c r="PEJ1" s="68"/>
      <c r="PEK1" s="68"/>
      <c r="PEL1" s="68"/>
      <c r="PEM1" s="68"/>
      <c r="PEN1" s="68"/>
      <c r="PEO1" s="68"/>
      <c r="PEP1" s="68"/>
      <c r="PEQ1" s="68"/>
      <c r="PER1" s="68"/>
      <c r="PES1" s="68"/>
      <c r="PET1" s="68"/>
      <c r="PEU1" s="68"/>
      <c r="PEV1" s="68"/>
      <c r="PEW1" s="68"/>
      <c r="PEX1" s="68"/>
      <c r="PEY1" s="68"/>
      <c r="PEZ1" s="68"/>
      <c r="PFA1" s="68"/>
      <c r="PFB1" s="68"/>
      <c r="PFC1" s="68"/>
      <c r="PFD1" s="68"/>
      <c r="PFE1" s="68"/>
      <c r="PFF1" s="68"/>
      <c r="PFG1" s="68"/>
      <c r="PFH1" s="68"/>
      <c r="PFI1" s="68"/>
      <c r="PFJ1" s="68"/>
      <c r="PFK1" s="68"/>
      <c r="PFL1" s="68"/>
      <c r="PFM1" s="68"/>
      <c r="PFN1" s="68"/>
      <c r="PFO1" s="68"/>
      <c r="PFP1" s="68"/>
      <c r="PFQ1" s="68"/>
      <c r="PFR1" s="68"/>
      <c r="PFS1" s="68"/>
      <c r="PFT1" s="68"/>
      <c r="PFU1" s="68"/>
      <c r="PFV1" s="68"/>
      <c r="PFW1" s="68"/>
      <c r="PFX1" s="68"/>
      <c r="PFY1" s="68"/>
      <c r="PFZ1" s="68"/>
      <c r="PGA1" s="68"/>
      <c r="PGB1" s="68"/>
      <c r="PGC1" s="68"/>
      <c r="PGD1" s="68"/>
      <c r="PGE1" s="68"/>
      <c r="PGF1" s="68"/>
      <c r="PGG1" s="68"/>
      <c r="PGH1" s="68"/>
      <c r="PGI1" s="68"/>
      <c r="PGJ1" s="68"/>
      <c r="PGK1" s="68"/>
      <c r="PGL1" s="68"/>
      <c r="PGM1" s="68"/>
      <c r="PGN1" s="68"/>
      <c r="PGO1" s="68"/>
      <c r="PGP1" s="68"/>
      <c r="PGQ1" s="68"/>
      <c r="PGR1" s="68"/>
      <c r="PGS1" s="68"/>
      <c r="PGT1" s="68"/>
      <c r="PGU1" s="68"/>
      <c r="PGV1" s="68"/>
      <c r="PGW1" s="68"/>
      <c r="PGX1" s="68"/>
      <c r="PGY1" s="68"/>
      <c r="PGZ1" s="68"/>
      <c r="PHA1" s="68"/>
      <c r="PHB1" s="68"/>
      <c r="PHC1" s="68"/>
      <c r="PHD1" s="68"/>
      <c r="PHE1" s="68"/>
      <c r="PHF1" s="68"/>
      <c r="PHG1" s="68"/>
      <c r="PHH1" s="68"/>
      <c r="PHI1" s="68"/>
      <c r="PHJ1" s="68"/>
      <c r="PHK1" s="68"/>
      <c r="PHL1" s="68"/>
      <c r="PHM1" s="68"/>
      <c r="PHN1" s="68"/>
      <c r="PHO1" s="68"/>
      <c r="PHP1" s="68"/>
      <c r="PHQ1" s="68"/>
      <c r="PHR1" s="68"/>
      <c r="PHS1" s="68"/>
      <c r="PHT1" s="68"/>
      <c r="PHU1" s="68"/>
      <c r="PHV1" s="68"/>
      <c r="PHW1" s="68"/>
      <c r="PHX1" s="68"/>
      <c r="PHY1" s="68"/>
      <c r="PHZ1" s="68"/>
      <c r="PIA1" s="68"/>
      <c r="PIB1" s="68"/>
      <c r="PIC1" s="68"/>
      <c r="PID1" s="68"/>
      <c r="PIE1" s="68"/>
      <c r="PIF1" s="68"/>
      <c r="PIG1" s="68"/>
      <c r="PIH1" s="68"/>
      <c r="PII1" s="68"/>
      <c r="PIJ1" s="68"/>
      <c r="PIK1" s="68"/>
      <c r="PIL1" s="68"/>
      <c r="PIM1" s="68"/>
      <c r="PIN1" s="68"/>
      <c r="PIO1" s="68"/>
      <c r="PIP1" s="68"/>
      <c r="PIQ1" s="68"/>
      <c r="PIR1" s="68"/>
      <c r="PIS1" s="68"/>
      <c r="PIT1" s="68"/>
      <c r="PIU1" s="68"/>
      <c r="PIV1" s="68"/>
      <c r="PIW1" s="68"/>
      <c r="PIX1" s="68"/>
      <c r="PIY1" s="68"/>
      <c r="PIZ1" s="68"/>
      <c r="PJA1" s="68"/>
      <c r="PJB1" s="68"/>
      <c r="PJC1" s="68"/>
      <c r="PJD1" s="68"/>
      <c r="PJE1" s="68"/>
      <c r="PJF1" s="68"/>
      <c r="PJG1" s="68"/>
      <c r="PJH1" s="68"/>
      <c r="PJI1" s="68"/>
      <c r="PJJ1" s="68"/>
      <c r="PJK1" s="68"/>
      <c r="PJL1" s="68"/>
      <c r="PJM1" s="68"/>
      <c r="PJN1" s="68"/>
      <c r="PJO1" s="68"/>
      <c r="PJP1" s="68"/>
      <c r="PJQ1" s="68"/>
      <c r="PJR1" s="68"/>
      <c r="PJS1" s="68"/>
      <c r="PJT1" s="68"/>
      <c r="PJU1" s="68"/>
      <c r="PJV1" s="68"/>
      <c r="PJW1" s="68"/>
      <c r="PJX1" s="68"/>
      <c r="PJY1" s="68"/>
      <c r="PJZ1" s="68"/>
      <c r="PKA1" s="68"/>
      <c r="PKB1" s="68"/>
      <c r="PKC1" s="68"/>
      <c r="PKD1" s="68"/>
      <c r="PKE1" s="68"/>
      <c r="PKF1" s="68"/>
      <c r="PKG1" s="68"/>
      <c r="PKH1" s="68"/>
      <c r="PKI1" s="68"/>
      <c r="PKJ1" s="68"/>
      <c r="PKK1" s="68"/>
      <c r="PKL1" s="68"/>
      <c r="PKM1" s="68"/>
      <c r="PKN1" s="68"/>
      <c r="PKO1" s="68"/>
      <c r="PKP1" s="68"/>
      <c r="PKQ1" s="68"/>
      <c r="PKR1" s="68"/>
      <c r="PKS1" s="68"/>
      <c r="PKT1" s="68"/>
      <c r="PKU1" s="68"/>
      <c r="PKV1" s="68"/>
      <c r="PKW1" s="68"/>
      <c r="PKX1" s="68"/>
      <c r="PKY1" s="68"/>
      <c r="PKZ1" s="68"/>
      <c r="PLA1" s="68"/>
      <c r="PLB1" s="68"/>
      <c r="PLC1" s="68"/>
      <c r="PLD1" s="68"/>
      <c r="PLE1" s="68"/>
      <c r="PLF1" s="68"/>
      <c r="PLG1" s="68"/>
      <c r="PLH1" s="68"/>
      <c r="PLI1" s="68"/>
      <c r="PLJ1" s="68"/>
      <c r="PLK1" s="68"/>
      <c r="PLL1" s="68"/>
      <c r="PLM1" s="68"/>
      <c r="PLN1" s="68"/>
      <c r="PLO1" s="68"/>
      <c r="PLP1" s="68"/>
      <c r="PLQ1" s="68"/>
      <c r="PLR1" s="68"/>
      <c r="PLS1" s="68"/>
      <c r="PLT1" s="68"/>
      <c r="PLU1" s="68"/>
      <c r="PLV1" s="68"/>
      <c r="PLW1" s="68"/>
      <c r="PLX1" s="68"/>
      <c r="PLY1" s="68"/>
      <c r="PLZ1" s="68"/>
      <c r="PMA1" s="68"/>
      <c r="PMB1" s="68"/>
      <c r="PMC1" s="68"/>
      <c r="PMD1" s="68"/>
      <c r="PME1" s="68"/>
      <c r="PMF1" s="68"/>
      <c r="PMG1" s="68"/>
      <c r="PMH1" s="68"/>
      <c r="PMI1" s="68"/>
      <c r="PMJ1" s="68"/>
      <c r="PMK1" s="68"/>
      <c r="PML1" s="68"/>
      <c r="PMM1" s="68"/>
      <c r="PMN1" s="68"/>
      <c r="PMO1" s="68"/>
      <c r="PMP1" s="68"/>
      <c r="PMQ1" s="68"/>
      <c r="PMR1" s="68"/>
      <c r="PMS1" s="68"/>
      <c r="PMT1" s="68"/>
      <c r="PMU1" s="68"/>
      <c r="PMV1" s="68"/>
      <c r="PMW1" s="68"/>
      <c r="PMX1" s="68"/>
      <c r="PMY1" s="68"/>
      <c r="PMZ1" s="68"/>
      <c r="PNA1" s="68"/>
      <c r="PNB1" s="68"/>
      <c r="PNC1" s="68"/>
      <c r="PND1" s="68"/>
      <c r="PNE1" s="68"/>
      <c r="PNF1" s="68"/>
      <c r="PNG1" s="68"/>
      <c r="PNH1" s="68"/>
      <c r="PNI1" s="68"/>
      <c r="PNJ1" s="68"/>
      <c r="PNK1" s="68"/>
      <c r="PNL1" s="68"/>
      <c r="PNM1" s="68"/>
      <c r="PNN1" s="68"/>
      <c r="PNO1" s="68"/>
      <c r="PNP1" s="68"/>
      <c r="PNQ1" s="68"/>
      <c r="PNR1" s="68"/>
      <c r="PNS1" s="68"/>
      <c r="PNT1" s="68"/>
      <c r="PNU1" s="68"/>
      <c r="PNV1" s="68"/>
      <c r="PNW1" s="68"/>
      <c r="PNX1" s="68"/>
      <c r="PNY1" s="68"/>
      <c r="PNZ1" s="68"/>
      <c r="POA1" s="68"/>
      <c r="POB1" s="68"/>
      <c r="POC1" s="68"/>
      <c r="POD1" s="68"/>
      <c r="POE1" s="68"/>
      <c r="POF1" s="68"/>
      <c r="POG1" s="68"/>
      <c r="POH1" s="68"/>
      <c r="POI1" s="68"/>
      <c r="POJ1" s="68"/>
      <c r="POK1" s="68"/>
      <c r="POL1" s="68"/>
      <c r="POM1" s="68"/>
      <c r="PON1" s="68"/>
      <c r="POO1" s="68"/>
      <c r="POP1" s="68"/>
      <c r="POQ1" s="68"/>
      <c r="POR1" s="68"/>
      <c r="POS1" s="68"/>
      <c r="POT1" s="68"/>
      <c r="POU1" s="68"/>
      <c r="POV1" s="68"/>
      <c r="POW1" s="68"/>
      <c r="POX1" s="68"/>
      <c r="POY1" s="68"/>
      <c r="POZ1" s="68"/>
      <c r="PPA1" s="68"/>
      <c r="PPB1" s="68"/>
      <c r="PPC1" s="68"/>
      <c r="PPD1" s="68"/>
      <c r="PPE1" s="68"/>
      <c r="PPF1" s="68"/>
      <c r="PPG1" s="68"/>
      <c r="PPH1" s="68"/>
      <c r="PPI1" s="68"/>
      <c r="PPJ1" s="68"/>
      <c r="PPK1" s="68"/>
      <c r="PPL1" s="68"/>
      <c r="PPM1" s="68"/>
      <c r="PPN1" s="68"/>
      <c r="PPO1" s="68"/>
      <c r="PPP1" s="68"/>
      <c r="PPQ1" s="68"/>
      <c r="PPR1" s="68"/>
      <c r="PPS1" s="68"/>
      <c r="PPT1" s="68"/>
      <c r="PPU1" s="68"/>
      <c r="PPV1" s="68"/>
      <c r="PPW1" s="68"/>
      <c r="PPX1" s="68"/>
      <c r="PPY1" s="68"/>
      <c r="PPZ1" s="68"/>
      <c r="PQA1" s="68"/>
      <c r="PQB1" s="68"/>
      <c r="PQC1" s="68"/>
      <c r="PQD1" s="68"/>
      <c r="PQE1" s="68"/>
      <c r="PQF1" s="68"/>
      <c r="PQG1" s="68"/>
      <c r="PQH1" s="68"/>
      <c r="PQI1" s="68"/>
      <c r="PQJ1" s="68"/>
      <c r="PQK1" s="68"/>
      <c r="PQL1" s="68"/>
      <c r="PQM1" s="68"/>
      <c r="PQN1" s="68"/>
      <c r="PQO1" s="68"/>
      <c r="PQP1" s="68"/>
      <c r="PQQ1" s="68"/>
      <c r="PQR1" s="68"/>
      <c r="PQS1" s="68"/>
      <c r="PQT1" s="68"/>
      <c r="PQU1" s="68"/>
      <c r="PQV1" s="68"/>
      <c r="PQW1" s="68"/>
      <c r="PQX1" s="68"/>
      <c r="PQY1" s="68"/>
      <c r="PQZ1" s="68"/>
      <c r="PRA1" s="68"/>
      <c r="PRB1" s="68"/>
      <c r="PRC1" s="68"/>
      <c r="PRD1" s="68"/>
      <c r="PRE1" s="68"/>
      <c r="PRF1" s="68"/>
      <c r="PRG1" s="68"/>
      <c r="PRH1" s="68"/>
      <c r="PRI1" s="68"/>
      <c r="PRJ1" s="68"/>
      <c r="PRK1" s="68"/>
      <c r="PRL1" s="68"/>
      <c r="PRM1" s="68"/>
      <c r="PRN1" s="68"/>
      <c r="PRO1" s="68"/>
      <c r="PRP1" s="68"/>
      <c r="PRQ1" s="68"/>
      <c r="PRR1" s="68"/>
      <c r="PRS1" s="68"/>
      <c r="PRT1" s="68"/>
      <c r="PRU1" s="68"/>
      <c r="PRV1" s="68"/>
      <c r="PRW1" s="68"/>
      <c r="PRX1" s="68"/>
      <c r="PRY1" s="68"/>
      <c r="PRZ1" s="68"/>
      <c r="PSA1" s="68"/>
      <c r="PSB1" s="68"/>
      <c r="PSC1" s="68"/>
      <c r="PSD1" s="68"/>
      <c r="PSE1" s="68"/>
      <c r="PSF1" s="68"/>
      <c r="PSG1" s="68"/>
      <c r="PSH1" s="68"/>
      <c r="PSI1" s="68"/>
      <c r="PSJ1" s="68"/>
      <c r="PSK1" s="68"/>
      <c r="PSL1" s="68"/>
      <c r="PSM1" s="68"/>
      <c r="PSN1" s="68"/>
      <c r="PSO1" s="68"/>
      <c r="PSP1" s="68"/>
      <c r="PSQ1" s="68"/>
      <c r="PSR1" s="68"/>
      <c r="PSS1" s="68"/>
      <c r="PST1" s="68"/>
      <c r="PSU1" s="68"/>
      <c r="PSV1" s="68"/>
      <c r="PSW1" s="68"/>
      <c r="PSX1" s="68"/>
      <c r="PSY1" s="68"/>
      <c r="PSZ1" s="68"/>
      <c r="PTA1" s="68"/>
      <c r="PTB1" s="68"/>
      <c r="PTC1" s="68"/>
      <c r="PTD1" s="68"/>
      <c r="PTE1" s="68"/>
      <c r="PTF1" s="68"/>
      <c r="PTG1" s="68"/>
      <c r="PTH1" s="68"/>
      <c r="PTI1" s="68"/>
      <c r="PTJ1" s="68"/>
      <c r="PTK1" s="68"/>
      <c r="PTL1" s="68"/>
      <c r="PTM1" s="68"/>
      <c r="PTN1" s="68"/>
      <c r="PTO1" s="68"/>
      <c r="PTP1" s="68"/>
      <c r="PTQ1" s="68"/>
      <c r="PTR1" s="68"/>
      <c r="PTS1" s="68"/>
      <c r="PTT1" s="68"/>
      <c r="PTU1" s="68"/>
      <c r="PTV1" s="68"/>
      <c r="PTW1" s="68"/>
      <c r="PTX1" s="68"/>
      <c r="PTY1" s="68"/>
      <c r="PTZ1" s="68"/>
      <c r="PUA1" s="68"/>
      <c r="PUB1" s="68"/>
      <c r="PUC1" s="68"/>
      <c r="PUD1" s="68"/>
      <c r="PUE1" s="68"/>
      <c r="PUF1" s="68"/>
      <c r="PUG1" s="68"/>
      <c r="PUH1" s="68"/>
      <c r="PUI1" s="68"/>
      <c r="PUJ1" s="68"/>
      <c r="PUK1" s="68"/>
      <c r="PUL1" s="68"/>
      <c r="PUM1" s="68"/>
      <c r="PUN1" s="68"/>
      <c r="PUO1" s="68"/>
      <c r="PUP1" s="68"/>
      <c r="PUQ1" s="68"/>
      <c r="PUR1" s="68"/>
      <c r="PUS1" s="68"/>
      <c r="PUT1" s="68"/>
      <c r="PUU1" s="68"/>
      <c r="PUV1" s="68"/>
      <c r="PUW1" s="68"/>
      <c r="PUX1" s="68"/>
      <c r="PUY1" s="68"/>
      <c r="PUZ1" s="68"/>
      <c r="PVA1" s="68"/>
      <c r="PVB1" s="68"/>
      <c r="PVC1" s="68"/>
      <c r="PVD1" s="68"/>
      <c r="PVE1" s="68"/>
      <c r="PVF1" s="68"/>
      <c r="PVG1" s="68"/>
      <c r="PVH1" s="68"/>
      <c r="PVI1" s="68"/>
      <c r="PVJ1" s="68"/>
      <c r="PVK1" s="68"/>
      <c r="PVL1" s="68"/>
      <c r="PVM1" s="68"/>
      <c r="PVN1" s="68"/>
      <c r="PVO1" s="68"/>
      <c r="PVP1" s="68"/>
      <c r="PVQ1" s="68"/>
      <c r="PVR1" s="68"/>
      <c r="PVS1" s="68"/>
      <c r="PVT1" s="68"/>
      <c r="PVU1" s="68"/>
      <c r="PVV1" s="68"/>
      <c r="PVW1" s="68"/>
      <c r="PVX1" s="68"/>
      <c r="PVY1" s="68"/>
      <c r="PVZ1" s="68"/>
      <c r="PWA1" s="68"/>
      <c r="PWB1" s="68"/>
      <c r="PWC1" s="68"/>
      <c r="PWD1" s="68"/>
      <c r="PWE1" s="68"/>
      <c r="PWF1" s="68"/>
      <c r="PWG1" s="68"/>
      <c r="PWH1" s="68"/>
      <c r="PWI1" s="68"/>
      <c r="PWJ1" s="68"/>
      <c r="PWK1" s="68"/>
      <c r="PWL1" s="68"/>
      <c r="PWM1" s="68"/>
      <c r="PWN1" s="68"/>
      <c r="PWO1" s="68"/>
      <c r="PWP1" s="68"/>
      <c r="PWQ1" s="68"/>
      <c r="PWR1" s="68"/>
      <c r="PWS1" s="68"/>
      <c r="PWT1" s="68"/>
      <c r="PWU1" s="68"/>
      <c r="PWV1" s="68"/>
      <c r="PWW1" s="68"/>
      <c r="PWX1" s="68"/>
      <c r="PWY1" s="68"/>
      <c r="PWZ1" s="68"/>
      <c r="PXA1" s="68"/>
      <c r="PXB1" s="68"/>
      <c r="PXC1" s="68"/>
      <c r="PXD1" s="68"/>
      <c r="PXE1" s="68"/>
      <c r="PXF1" s="68"/>
      <c r="PXG1" s="68"/>
      <c r="PXH1" s="68"/>
      <c r="PXI1" s="68"/>
      <c r="PXJ1" s="68"/>
      <c r="PXK1" s="68"/>
      <c r="PXL1" s="68"/>
      <c r="PXM1" s="68"/>
      <c r="PXN1" s="68"/>
      <c r="PXO1" s="68"/>
      <c r="PXP1" s="68"/>
      <c r="PXQ1" s="68"/>
      <c r="PXR1" s="68"/>
      <c r="PXS1" s="68"/>
      <c r="PXT1" s="68"/>
      <c r="PXU1" s="68"/>
      <c r="PXV1" s="68"/>
      <c r="PXW1" s="68"/>
      <c r="PXX1" s="68"/>
      <c r="PXY1" s="68"/>
      <c r="PXZ1" s="68"/>
      <c r="PYA1" s="68"/>
      <c r="PYB1" s="68"/>
      <c r="PYC1" s="68"/>
      <c r="PYD1" s="68"/>
      <c r="PYE1" s="68"/>
      <c r="PYF1" s="68"/>
      <c r="PYG1" s="68"/>
      <c r="PYH1" s="68"/>
      <c r="PYI1" s="68"/>
      <c r="PYJ1" s="68"/>
      <c r="PYK1" s="68"/>
      <c r="PYL1" s="68"/>
      <c r="PYM1" s="68"/>
      <c r="PYN1" s="68"/>
      <c r="PYO1" s="68"/>
      <c r="PYP1" s="68"/>
      <c r="PYQ1" s="68"/>
      <c r="PYR1" s="68"/>
      <c r="PYS1" s="68"/>
      <c r="PYT1" s="68"/>
      <c r="PYU1" s="68"/>
      <c r="PYV1" s="68"/>
      <c r="PYW1" s="68"/>
      <c r="PYX1" s="68"/>
      <c r="PYY1" s="68"/>
      <c r="PYZ1" s="68"/>
      <c r="PZA1" s="68"/>
      <c r="PZB1" s="68"/>
      <c r="PZC1" s="68"/>
      <c r="PZD1" s="68"/>
      <c r="PZE1" s="68"/>
      <c r="PZF1" s="68"/>
      <c r="PZG1" s="68"/>
      <c r="PZH1" s="68"/>
      <c r="PZI1" s="68"/>
      <c r="PZJ1" s="68"/>
      <c r="PZK1" s="68"/>
      <c r="PZL1" s="68"/>
      <c r="PZM1" s="68"/>
      <c r="PZN1" s="68"/>
      <c r="PZO1" s="68"/>
      <c r="PZP1" s="68"/>
      <c r="PZQ1" s="68"/>
      <c r="PZR1" s="68"/>
      <c r="PZS1" s="68"/>
      <c r="PZT1" s="68"/>
      <c r="PZU1" s="68"/>
      <c r="PZV1" s="68"/>
      <c r="PZW1" s="68"/>
      <c r="PZX1" s="68"/>
      <c r="PZY1" s="68"/>
      <c r="PZZ1" s="68"/>
      <c r="QAA1" s="68"/>
      <c r="QAB1" s="68"/>
      <c r="QAC1" s="68"/>
      <c r="QAD1" s="68"/>
      <c r="QAE1" s="68"/>
      <c r="QAF1" s="68"/>
      <c r="QAG1" s="68"/>
      <c r="QAH1" s="68"/>
      <c r="QAI1" s="68"/>
      <c r="QAJ1" s="68"/>
      <c r="QAK1" s="68"/>
      <c r="QAL1" s="68"/>
      <c r="QAM1" s="68"/>
      <c r="QAN1" s="68"/>
      <c r="QAO1" s="68"/>
      <c r="QAP1" s="68"/>
      <c r="QAQ1" s="68"/>
      <c r="QAR1" s="68"/>
      <c r="QAS1" s="68"/>
      <c r="QAT1" s="68"/>
      <c r="QAU1" s="68"/>
      <c r="QAV1" s="68"/>
      <c r="QAW1" s="68"/>
      <c r="QAX1" s="68"/>
      <c r="QAY1" s="68"/>
      <c r="QAZ1" s="68"/>
      <c r="QBA1" s="68"/>
      <c r="QBB1" s="68"/>
      <c r="QBC1" s="68"/>
      <c r="QBD1" s="68"/>
      <c r="QBE1" s="68"/>
      <c r="QBF1" s="68"/>
      <c r="QBG1" s="68"/>
      <c r="QBH1" s="68"/>
      <c r="QBI1" s="68"/>
      <c r="QBJ1" s="68"/>
      <c r="QBK1" s="68"/>
      <c r="QBL1" s="68"/>
      <c r="QBM1" s="68"/>
      <c r="QBN1" s="68"/>
      <c r="QBO1" s="68"/>
      <c r="QBP1" s="68"/>
      <c r="QBQ1" s="68"/>
      <c r="QBR1" s="68"/>
      <c r="QBS1" s="68"/>
      <c r="QBT1" s="68"/>
      <c r="QBU1" s="68"/>
      <c r="QBV1" s="68"/>
      <c r="QBW1" s="68"/>
      <c r="QBX1" s="68"/>
      <c r="QBY1" s="68"/>
      <c r="QBZ1" s="68"/>
      <c r="QCA1" s="68"/>
      <c r="QCB1" s="68"/>
      <c r="QCC1" s="68"/>
      <c r="QCD1" s="68"/>
      <c r="QCE1" s="68"/>
      <c r="QCF1" s="68"/>
      <c r="QCG1" s="68"/>
      <c r="QCH1" s="68"/>
      <c r="QCI1" s="68"/>
      <c r="QCJ1" s="68"/>
      <c r="QCK1" s="68"/>
      <c r="QCL1" s="68"/>
      <c r="QCM1" s="68"/>
      <c r="QCN1" s="68"/>
      <c r="QCO1" s="68"/>
      <c r="QCP1" s="68"/>
      <c r="QCQ1" s="68"/>
      <c r="QCR1" s="68"/>
      <c r="QCS1" s="68"/>
      <c r="QCT1" s="68"/>
      <c r="QCU1" s="68"/>
      <c r="QCV1" s="68"/>
      <c r="QCW1" s="68"/>
      <c r="QCX1" s="68"/>
      <c r="QCY1" s="68"/>
      <c r="QCZ1" s="68"/>
      <c r="QDA1" s="68"/>
      <c r="QDB1" s="68"/>
      <c r="QDC1" s="68"/>
      <c r="QDD1" s="68"/>
      <c r="QDE1" s="68"/>
      <c r="QDF1" s="68"/>
      <c r="QDG1" s="68"/>
      <c r="QDH1" s="68"/>
      <c r="QDI1" s="68"/>
      <c r="QDJ1" s="68"/>
      <c r="QDK1" s="68"/>
      <c r="QDL1" s="68"/>
      <c r="QDM1" s="68"/>
      <c r="QDN1" s="68"/>
      <c r="QDO1" s="68"/>
      <c r="QDP1" s="68"/>
      <c r="QDQ1" s="68"/>
      <c r="QDR1" s="68"/>
      <c r="QDS1" s="68"/>
      <c r="QDT1" s="68"/>
      <c r="QDU1" s="68"/>
      <c r="QDV1" s="68"/>
      <c r="QDW1" s="68"/>
      <c r="QDX1" s="68"/>
      <c r="QDY1" s="68"/>
      <c r="QDZ1" s="68"/>
      <c r="QEA1" s="68"/>
      <c r="QEB1" s="68"/>
      <c r="QEC1" s="68"/>
      <c r="QED1" s="68"/>
      <c r="QEE1" s="68"/>
      <c r="QEF1" s="68"/>
      <c r="QEG1" s="68"/>
      <c r="QEH1" s="68"/>
      <c r="QEI1" s="68"/>
      <c r="QEJ1" s="68"/>
      <c r="QEK1" s="68"/>
      <c r="QEL1" s="68"/>
      <c r="QEM1" s="68"/>
      <c r="QEN1" s="68"/>
      <c r="QEO1" s="68"/>
      <c r="QEP1" s="68"/>
      <c r="QEQ1" s="68"/>
      <c r="QER1" s="68"/>
      <c r="QES1" s="68"/>
      <c r="QET1" s="68"/>
      <c r="QEU1" s="68"/>
      <c r="QEV1" s="68"/>
      <c r="QEW1" s="68"/>
      <c r="QEX1" s="68"/>
      <c r="QEY1" s="68"/>
      <c r="QEZ1" s="68"/>
      <c r="QFA1" s="68"/>
      <c r="QFB1" s="68"/>
      <c r="QFC1" s="68"/>
      <c r="QFD1" s="68"/>
      <c r="QFE1" s="68"/>
      <c r="QFF1" s="68"/>
      <c r="QFG1" s="68"/>
      <c r="QFH1" s="68"/>
      <c r="QFI1" s="68"/>
      <c r="QFJ1" s="68"/>
      <c r="QFK1" s="68"/>
      <c r="QFL1" s="68"/>
      <c r="QFM1" s="68"/>
      <c r="QFN1" s="68"/>
      <c r="QFO1" s="68"/>
      <c r="QFP1" s="68"/>
      <c r="QFQ1" s="68"/>
      <c r="QFR1" s="68"/>
      <c r="QFS1" s="68"/>
      <c r="QFT1" s="68"/>
      <c r="QFU1" s="68"/>
      <c r="QFV1" s="68"/>
      <c r="QFW1" s="68"/>
      <c r="QFX1" s="68"/>
      <c r="QFY1" s="68"/>
      <c r="QFZ1" s="68"/>
      <c r="QGA1" s="68"/>
      <c r="QGB1" s="68"/>
      <c r="QGC1" s="68"/>
      <c r="QGD1" s="68"/>
      <c r="QGE1" s="68"/>
      <c r="QGF1" s="68"/>
      <c r="QGG1" s="68"/>
      <c r="QGH1" s="68"/>
      <c r="QGI1" s="68"/>
      <c r="QGJ1" s="68"/>
      <c r="QGK1" s="68"/>
      <c r="QGL1" s="68"/>
      <c r="QGM1" s="68"/>
      <c r="QGN1" s="68"/>
      <c r="QGO1" s="68"/>
      <c r="QGP1" s="68"/>
      <c r="QGQ1" s="68"/>
      <c r="QGR1" s="68"/>
      <c r="QGS1" s="68"/>
      <c r="QGT1" s="68"/>
      <c r="QGU1" s="68"/>
      <c r="QGV1" s="68"/>
      <c r="QGW1" s="68"/>
      <c r="QGX1" s="68"/>
      <c r="QGY1" s="68"/>
      <c r="QGZ1" s="68"/>
      <c r="QHA1" s="68"/>
      <c r="QHB1" s="68"/>
      <c r="QHC1" s="68"/>
      <c r="QHD1" s="68"/>
      <c r="QHE1" s="68"/>
      <c r="QHF1" s="68"/>
      <c r="QHG1" s="68"/>
      <c r="QHH1" s="68"/>
      <c r="QHI1" s="68"/>
      <c r="QHJ1" s="68"/>
      <c r="QHK1" s="68"/>
      <c r="QHL1" s="68"/>
      <c r="QHM1" s="68"/>
      <c r="QHN1" s="68"/>
      <c r="QHO1" s="68"/>
      <c r="QHP1" s="68"/>
      <c r="QHQ1" s="68"/>
      <c r="QHR1" s="68"/>
      <c r="QHS1" s="68"/>
      <c r="QHT1" s="68"/>
      <c r="QHU1" s="68"/>
      <c r="QHV1" s="68"/>
      <c r="QHW1" s="68"/>
      <c r="QHX1" s="68"/>
      <c r="QHY1" s="68"/>
      <c r="QHZ1" s="68"/>
      <c r="QIA1" s="68"/>
      <c r="QIB1" s="68"/>
      <c r="QIC1" s="68"/>
      <c r="QID1" s="68"/>
      <c r="QIE1" s="68"/>
      <c r="QIF1" s="68"/>
      <c r="QIG1" s="68"/>
      <c r="QIH1" s="68"/>
      <c r="QII1" s="68"/>
      <c r="QIJ1" s="68"/>
      <c r="QIK1" s="68"/>
      <c r="QIL1" s="68"/>
      <c r="QIM1" s="68"/>
      <c r="QIN1" s="68"/>
      <c r="QIO1" s="68"/>
      <c r="QIP1" s="68"/>
      <c r="QIQ1" s="68"/>
      <c r="QIR1" s="68"/>
      <c r="QIS1" s="68"/>
      <c r="QIT1" s="68"/>
      <c r="QIU1" s="68"/>
      <c r="QIV1" s="68"/>
      <c r="QIW1" s="68"/>
      <c r="QIX1" s="68"/>
      <c r="QIY1" s="68"/>
      <c r="QIZ1" s="68"/>
      <c r="QJA1" s="68"/>
      <c r="QJB1" s="68"/>
      <c r="QJC1" s="68"/>
      <c r="QJD1" s="68"/>
      <c r="QJE1" s="68"/>
      <c r="QJF1" s="68"/>
      <c r="QJG1" s="68"/>
      <c r="QJH1" s="68"/>
      <c r="QJI1" s="68"/>
      <c r="QJJ1" s="68"/>
      <c r="QJK1" s="68"/>
      <c r="QJL1" s="68"/>
      <c r="QJM1" s="68"/>
      <c r="QJN1" s="68"/>
      <c r="QJO1" s="68"/>
      <c r="QJP1" s="68"/>
      <c r="QJQ1" s="68"/>
      <c r="QJR1" s="68"/>
      <c r="QJS1" s="68"/>
      <c r="QJT1" s="68"/>
      <c r="QJU1" s="68"/>
      <c r="QJV1" s="68"/>
      <c r="QJW1" s="68"/>
      <c r="QJX1" s="68"/>
      <c r="QJY1" s="68"/>
      <c r="QJZ1" s="68"/>
      <c r="QKA1" s="68"/>
      <c r="QKB1" s="68"/>
      <c r="QKC1" s="68"/>
      <c r="QKD1" s="68"/>
      <c r="QKE1" s="68"/>
      <c r="QKF1" s="68"/>
      <c r="QKG1" s="68"/>
      <c r="QKH1" s="68"/>
      <c r="QKI1" s="68"/>
      <c r="QKJ1" s="68"/>
      <c r="QKK1" s="68"/>
      <c r="QKL1" s="68"/>
      <c r="QKM1" s="68"/>
      <c r="QKN1" s="68"/>
      <c r="QKO1" s="68"/>
      <c r="QKP1" s="68"/>
      <c r="QKQ1" s="68"/>
      <c r="QKR1" s="68"/>
      <c r="QKS1" s="68"/>
      <c r="QKT1" s="68"/>
      <c r="QKU1" s="68"/>
      <c r="QKV1" s="68"/>
      <c r="QKW1" s="68"/>
      <c r="QKX1" s="68"/>
      <c r="QKY1" s="68"/>
      <c r="QKZ1" s="68"/>
      <c r="QLA1" s="68"/>
      <c r="QLB1" s="68"/>
      <c r="QLC1" s="68"/>
      <c r="QLD1" s="68"/>
      <c r="QLE1" s="68"/>
      <c r="QLF1" s="68"/>
      <c r="QLG1" s="68"/>
      <c r="QLH1" s="68"/>
      <c r="QLI1" s="68"/>
      <c r="QLJ1" s="68"/>
      <c r="QLK1" s="68"/>
      <c r="QLL1" s="68"/>
      <c r="QLM1" s="68"/>
      <c r="QLN1" s="68"/>
      <c r="QLO1" s="68"/>
      <c r="QLP1" s="68"/>
      <c r="QLQ1" s="68"/>
      <c r="QLR1" s="68"/>
      <c r="QLS1" s="68"/>
      <c r="QLT1" s="68"/>
      <c r="QLU1" s="68"/>
      <c r="QLV1" s="68"/>
      <c r="QLW1" s="68"/>
      <c r="QLX1" s="68"/>
      <c r="QLY1" s="68"/>
      <c r="QLZ1" s="68"/>
      <c r="QMA1" s="68"/>
      <c r="QMB1" s="68"/>
      <c r="QMC1" s="68"/>
      <c r="QMD1" s="68"/>
      <c r="QME1" s="68"/>
      <c r="QMF1" s="68"/>
      <c r="QMG1" s="68"/>
      <c r="QMH1" s="68"/>
      <c r="QMI1" s="68"/>
      <c r="QMJ1" s="68"/>
      <c r="QMK1" s="68"/>
      <c r="QML1" s="68"/>
      <c r="QMM1" s="68"/>
      <c r="QMN1" s="68"/>
      <c r="QMO1" s="68"/>
      <c r="QMP1" s="68"/>
      <c r="QMQ1" s="68"/>
      <c r="QMR1" s="68"/>
      <c r="QMS1" s="68"/>
      <c r="QMT1" s="68"/>
      <c r="QMU1" s="68"/>
      <c r="QMV1" s="68"/>
      <c r="QMW1" s="68"/>
      <c r="QMX1" s="68"/>
      <c r="QMY1" s="68"/>
      <c r="QMZ1" s="68"/>
      <c r="QNA1" s="68"/>
      <c r="QNB1" s="68"/>
      <c r="QNC1" s="68"/>
      <c r="QND1" s="68"/>
      <c r="QNE1" s="68"/>
      <c r="QNF1" s="68"/>
      <c r="QNG1" s="68"/>
      <c r="QNH1" s="68"/>
      <c r="QNI1" s="68"/>
      <c r="QNJ1" s="68"/>
      <c r="QNK1" s="68"/>
      <c r="QNL1" s="68"/>
      <c r="QNM1" s="68"/>
      <c r="QNN1" s="68"/>
      <c r="QNO1" s="68"/>
      <c r="QNP1" s="68"/>
      <c r="QNQ1" s="68"/>
      <c r="QNR1" s="68"/>
      <c r="QNS1" s="68"/>
      <c r="QNT1" s="68"/>
      <c r="QNU1" s="68"/>
      <c r="QNV1" s="68"/>
      <c r="QNW1" s="68"/>
      <c r="QNX1" s="68"/>
      <c r="QNY1" s="68"/>
      <c r="QNZ1" s="68"/>
      <c r="QOA1" s="68"/>
      <c r="QOB1" s="68"/>
      <c r="QOC1" s="68"/>
      <c r="QOD1" s="68"/>
      <c r="QOE1" s="68"/>
      <c r="QOF1" s="68"/>
      <c r="QOG1" s="68"/>
      <c r="QOH1" s="68"/>
      <c r="QOI1" s="68"/>
      <c r="QOJ1" s="68"/>
      <c r="QOK1" s="68"/>
      <c r="QOL1" s="68"/>
      <c r="QOM1" s="68"/>
      <c r="QON1" s="68"/>
      <c r="QOO1" s="68"/>
      <c r="QOP1" s="68"/>
      <c r="QOQ1" s="68"/>
      <c r="QOR1" s="68"/>
      <c r="QOS1" s="68"/>
      <c r="QOT1" s="68"/>
      <c r="QOU1" s="68"/>
      <c r="QOV1" s="68"/>
      <c r="QOW1" s="68"/>
      <c r="QOX1" s="68"/>
      <c r="QOY1" s="68"/>
      <c r="QOZ1" s="68"/>
      <c r="QPA1" s="68"/>
      <c r="QPB1" s="68"/>
      <c r="QPC1" s="68"/>
      <c r="QPD1" s="68"/>
      <c r="QPE1" s="68"/>
      <c r="QPF1" s="68"/>
      <c r="QPG1" s="68"/>
      <c r="QPH1" s="68"/>
      <c r="QPI1" s="68"/>
      <c r="QPJ1" s="68"/>
      <c r="QPK1" s="68"/>
      <c r="QPL1" s="68"/>
      <c r="QPM1" s="68"/>
      <c r="QPN1" s="68"/>
      <c r="QPO1" s="68"/>
      <c r="QPP1" s="68"/>
      <c r="QPQ1" s="68"/>
      <c r="QPR1" s="68"/>
      <c r="QPS1" s="68"/>
      <c r="QPT1" s="68"/>
      <c r="QPU1" s="68"/>
      <c r="QPV1" s="68"/>
      <c r="QPW1" s="68"/>
      <c r="QPX1" s="68"/>
      <c r="QPY1" s="68"/>
      <c r="QPZ1" s="68"/>
      <c r="QQA1" s="68"/>
      <c r="QQB1" s="68"/>
      <c r="QQC1" s="68"/>
      <c r="QQD1" s="68"/>
      <c r="QQE1" s="68"/>
      <c r="QQF1" s="68"/>
      <c r="QQG1" s="68"/>
      <c r="QQH1" s="68"/>
      <c r="QQI1" s="68"/>
      <c r="QQJ1" s="68"/>
      <c r="QQK1" s="68"/>
      <c r="QQL1" s="68"/>
      <c r="QQM1" s="68"/>
      <c r="QQN1" s="68"/>
      <c r="QQO1" s="68"/>
      <c r="QQP1" s="68"/>
      <c r="QQQ1" s="68"/>
      <c r="QQR1" s="68"/>
      <c r="QQS1" s="68"/>
      <c r="QQT1" s="68"/>
      <c r="QQU1" s="68"/>
      <c r="QQV1" s="68"/>
      <c r="QQW1" s="68"/>
      <c r="QQX1" s="68"/>
      <c r="QQY1" s="68"/>
      <c r="QQZ1" s="68"/>
      <c r="QRA1" s="68"/>
      <c r="QRB1" s="68"/>
      <c r="QRC1" s="68"/>
      <c r="QRD1" s="68"/>
      <c r="QRE1" s="68"/>
      <c r="QRF1" s="68"/>
      <c r="QRG1" s="68"/>
      <c r="QRH1" s="68"/>
      <c r="QRI1" s="68"/>
      <c r="QRJ1" s="68"/>
      <c r="QRK1" s="68"/>
      <c r="QRL1" s="68"/>
      <c r="QRM1" s="68"/>
      <c r="QRN1" s="68"/>
      <c r="QRO1" s="68"/>
      <c r="QRP1" s="68"/>
      <c r="QRQ1" s="68"/>
      <c r="QRR1" s="68"/>
      <c r="QRS1" s="68"/>
      <c r="QRT1" s="68"/>
      <c r="QRU1" s="68"/>
      <c r="QRV1" s="68"/>
      <c r="QRW1" s="68"/>
      <c r="QRX1" s="68"/>
      <c r="QRY1" s="68"/>
      <c r="QRZ1" s="68"/>
      <c r="QSA1" s="68"/>
      <c r="QSB1" s="68"/>
      <c r="QSC1" s="68"/>
      <c r="QSD1" s="68"/>
      <c r="QSE1" s="68"/>
      <c r="QSF1" s="68"/>
      <c r="QSG1" s="68"/>
      <c r="QSH1" s="68"/>
      <c r="QSI1" s="68"/>
      <c r="QSJ1" s="68"/>
      <c r="QSK1" s="68"/>
      <c r="QSL1" s="68"/>
      <c r="QSM1" s="68"/>
      <c r="QSN1" s="68"/>
      <c r="QSO1" s="68"/>
      <c r="QSP1" s="68"/>
      <c r="QSQ1" s="68"/>
      <c r="QSR1" s="68"/>
      <c r="QSS1" s="68"/>
      <c r="QST1" s="68"/>
      <c r="QSU1" s="68"/>
      <c r="QSV1" s="68"/>
      <c r="QSW1" s="68"/>
      <c r="QSX1" s="68"/>
      <c r="QSY1" s="68"/>
      <c r="QSZ1" s="68"/>
      <c r="QTA1" s="68"/>
      <c r="QTB1" s="68"/>
      <c r="QTC1" s="68"/>
      <c r="QTD1" s="68"/>
      <c r="QTE1" s="68"/>
      <c r="QTF1" s="68"/>
      <c r="QTG1" s="68"/>
      <c r="QTH1" s="68"/>
      <c r="QTI1" s="68"/>
      <c r="QTJ1" s="68"/>
      <c r="QTK1" s="68"/>
      <c r="QTL1" s="68"/>
      <c r="QTM1" s="68"/>
      <c r="QTN1" s="68"/>
      <c r="QTO1" s="68"/>
      <c r="QTP1" s="68"/>
      <c r="QTQ1" s="68"/>
      <c r="QTR1" s="68"/>
      <c r="QTS1" s="68"/>
      <c r="QTT1" s="68"/>
      <c r="QTU1" s="68"/>
      <c r="QTV1" s="68"/>
      <c r="QTW1" s="68"/>
      <c r="QTX1" s="68"/>
      <c r="QTY1" s="68"/>
      <c r="QTZ1" s="68"/>
      <c r="QUA1" s="68"/>
      <c r="QUB1" s="68"/>
      <c r="QUC1" s="68"/>
      <c r="QUD1" s="68"/>
      <c r="QUE1" s="68"/>
      <c r="QUF1" s="68"/>
      <c r="QUG1" s="68"/>
      <c r="QUH1" s="68"/>
      <c r="QUI1" s="68"/>
      <c r="QUJ1" s="68"/>
      <c r="QUK1" s="68"/>
      <c r="QUL1" s="68"/>
      <c r="QUM1" s="68"/>
      <c r="QUN1" s="68"/>
      <c r="QUO1" s="68"/>
      <c r="QUP1" s="68"/>
      <c r="QUQ1" s="68"/>
      <c r="QUR1" s="68"/>
      <c r="QUS1" s="68"/>
      <c r="QUT1" s="68"/>
      <c r="QUU1" s="68"/>
      <c r="QUV1" s="68"/>
      <c r="QUW1" s="68"/>
      <c r="QUX1" s="68"/>
      <c r="QUY1" s="68"/>
      <c r="QUZ1" s="68"/>
      <c r="QVA1" s="68"/>
      <c r="QVB1" s="68"/>
      <c r="QVC1" s="68"/>
      <c r="QVD1" s="68"/>
      <c r="QVE1" s="68"/>
      <c r="QVF1" s="68"/>
      <c r="QVG1" s="68"/>
      <c r="QVH1" s="68"/>
      <c r="QVI1" s="68"/>
      <c r="QVJ1" s="68"/>
      <c r="QVK1" s="68"/>
      <c r="QVL1" s="68"/>
      <c r="QVM1" s="68"/>
      <c r="QVN1" s="68"/>
      <c r="QVO1" s="68"/>
      <c r="QVP1" s="68"/>
      <c r="QVQ1" s="68"/>
      <c r="QVR1" s="68"/>
      <c r="QVS1" s="68"/>
      <c r="QVT1" s="68"/>
      <c r="QVU1" s="68"/>
      <c r="QVV1" s="68"/>
      <c r="QVW1" s="68"/>
      <c r="QVX1" s="68"/>
      <c r="QVY1" s="68"/>
      <c r="QVZ1" s="68"/>
      <c r="QWA1" s="68"/>
      <c r="QWB1" s="68"/>
      <c r="QWC1" s="68"/>
      <c r="QWD1" s="68"/>
      <c r="QWE1" s="68"/>
      <c r="QWF1" s="68"/>
      <c r="QWG1" s="68"/>
      <c r="QWH1" s="68"/>
      <c r="QWI1" s="68"/>
      <c r="QWJ1" s="68"/>
      <c r="QWK1" s="68"/>
      <c r="QWL1" s="68"/>
      <c r="QWM1" s="68"/>
      <c r="QWN1" s="68"/>
      <c r="QWO1" s="68"/>
      <c r="QWP1" s="68"/>
      <c r="QWQ1" s="68"/>
      <c r="QWR1" s="68"/>
      <c r="QWS1" s="68"/>
      <c r="QWT1" s="68"/>
      <c r="QWU1" s="68"/>
      <c r="QWV1" s="68"/>
      <c r="QWW1" s="68"/>
      <c r="QWX1" s="68"/>
      <c r="QWY1" s="68"/>
      <c r="QWZ1" s="68"/>
      <c r="QXA1" s="68"/>
      <c r="QXB1" s="68"/>
      <c r="QXC1" s="68"/>
      <c r="QXD1" s="68"/>
      <c r="QXE1" s="68"/>
      <c r="QXF1" s="68"/>
      <c r="QXG1" s="68"/>
      <c r="QXH1" s="68"/>
      <c r="QXI1" s="68"/>
      <c r="QXJ1" s="68"/>
      <c r="QXK1" s="68"/>
      <c r="QXL1" s="68"/>
      <c r="QXM1" s="68"/>
      <c r="QXN1" s="68"/>
      <c r="QXO1" s="68"/>
      <c r="QXP1" s="68"/>
      <c r="QXQ1" s="68"/>
      <c r="QXR1" s="68"/>
      <c r="QXS1" s="68"/>
      <c r="QXT1" s="68"/>
      <c r="QXU1" s="68"/>
      <c r="QXV1" s="68"/>
      <c r="QXW1" s="68"/>
      <c r="QXX1" s="68"/>
      <c r="QXY1" s="68"/>
      <c r="QXZ1" s="68"/>
      <c r="QYA1" s="68"/>
      <c r="QYB1" s="68"/>
      <c r="QYC1" s="68"/>
      <c r="QYD1" s="68"/>
      <c r="QYE1" s="68"/>
      <c r="QYF1" s="68"/>
      <c r="QYG1" s="68"/>
      <c r="QYH1" s="68"/>
      <c r="QYI1" s="68"/>
      <c r="QYJ1" s="68"/>
      <c r="QYK1" s="68"/>
      <c r="QYL1" s="68"/>
      <c r="QYM1" s="68"/>
      <c r="QYN1" s="68"/>
      <c r="QYO1" s="68"/>
      <c r="QYP1" s="68"/>
      <c r="QYQ1" s="68"/>
      <c r="QYR1" s="68"/>
      <c r="QYS1" s="68"/>
      <c r="QYT1" s="68"/>
      <c r="QYU1" s="68"/>
      <c r="QYV1" s="68"/>
      <c r="QYW1" s="68"/>
      <c r="QYX1" s="68"/>
      <c r="QYY1" s="68"/>
      <c r="QYZ1" s="68"/>
      <c r="QZA1" s="68"/>
      <c r="QZB1" s="68"/>
      <c r="QZC1" s="68"/>
      <c r="QZD1" s="68"/>
      <c r="QZE1" s="68"/>
      <c r="QZF1" s="68"/>
      <c r="QZG1" s="68"/>
      <c r="QZH1" s="68"/>
      <c r="QZI1" s="68"/>
      <c r="QZJ1" s="68"/>
      <c r="QZK1" s="68"/>
      <c r="QZL1" s="68"/>
      <c r="QZM1" s="68"/>
      <c r="QZN1" s="68"/>
      <c r="QZO1" s="68"/>
      <c r="QZP1" s="68"/>
      <c r="QZQ1" s="68"/>
      <c r="QZR1" s="68"/>
      <c r="QZS1" s="68"/>
      <c r="QZT1" s="68"/>
      <c r="QZU1" s="68"/>
      <c r="QZV1" s="68"/>
      <c r="QZW1" s="68"/>
      <c r="QZX1" s="68"/>
      <c r="QZY1" s="68"/>
      <c r="QZZ1" s="68"/>
      <c r="RAA1" s="68"/>
      <c r="RAB1" s="68"/>
      <c r="RAC1" s="68"/>
      <c r="RAD1" s="68"/>
      <c r="RAE1" s="68"/>
      <c r="RAF1" s="68"/>
      <c r="RAG1" s="68"/>
      <c r="RAH1" s="68"/>
      <c r="RAI1" s="68"/>
      <c r="RAJ1" s="68"/>
      <c r="RAK1" s="68"/>
      <c r="RAL1" s="68"/>
      <c r="RAM1" s="68"/>
      <c r="RAN1" s="68"/>
      <c r="RAO1" s="68"/>
      <c r="RAP1" s="68"/>
      <c r="RAQ1" s="68"/>
      <c r="RAR1" s="68"/>
      <c r="RAS1" s="68"/>
      <c r="RAT1" s="68"/>
      <c r="RAU1" s="68"/>
      <c r="RAV1" s="68"/>
      <c r="RAW1" s="68"/>
      <c r="RAX1" s="68"/>
      <c r="RAY1" s="68"/>
      <c r="RAZ1" s="68"/>
      <c r="RBA1" s="68"/>
      <c r="RBB1" s="68"/>
      <c r="RBC1" s="68"/>
      <c r="RBD1" s="68"/>
      <c r="RBE1" s="68"/>
      <c r="RBF1" s="68"/>
      <c r="RBG1" s="68"/>
      <c r="RBH1" s="68"/>
      <c r="RBI1" s="68"/>
      <c r="RBJ1" s="68"/>
      <c r="RBK1" s="68"/>
      <c r="RBL1" s="68"/>
      <c r="RBM1" s="68"/>
      <c r="RBN1" s="68"/>
      <c r="RBO1" s="68"/>
      <c r="RBP1" s="68"/>
      <c r="RBQ1" s="68"/>
      <c r="RBR1" s="68"/>
      <c r="RBS1" s="68"/>
      <c r="RBT1" s="68"/>
      <c r="RBU1" s="68"/>
      <c r="RBV1" s="68"/>
      <c r="RBW1" s="68"/>
      <c r="RBX1" s="68"/>
      <c r="RBY1" s="68"/>
      <c r="RBZ1" s="68"/>
      <c r="RCA1" s="68"/>
      <c r="RCB1" s="68"/>
      <c r="RCC1" s="68"/>
      <c r="RCD1" s="68"/>
      <c r="RCE1" s="68"/>
      <c r="RCF1" s="68"/>
      <c r="RCG1" s="68"/>
      <c r="RCH1" s="68"/>
      <c r="RCI1" s="68"/>
      <c r="RCJ1" s="68"/>
      <c r="RCK1" s="68"/>
      <c r="RCL1" s="68"/>
      <c r="RCM1" s="68"/>
      <c r="RCN1" s="68"/>
      <c r="RCO1" s="68"/>
      <c r="RCP1" s="68"/>
      <c r="RCQ1" s="68"/>
      <c r="RCR1" s="68"/>
      <c r="RCS1" s="68"/>
      <c r="RCT1" s="68"/>
      <c r="RCU1" s="68"/>
      <c r="RCV1" s="68"/>
      <c r="RCW1" s="68"/>
      <c r="RCX1" s="68"/>
      <c r="RCY1" s="68"/>
      <c r="RCZ1" s="68"/>
      <c r="RDA1" s="68"/>
      <c r="RDB1" s="68"/>
      <c r="RDC1" s="68"/>
      <c r="RDD1" s="68"/>
      <c r="RDE1" s="68"/>
      <c r="RDF1" s="68"/>
      <c r="RDG1" s="68"/>
      <c r="RDH1" s="68"/>
      <c r="RDI1" s="68"/>
      <c r="RDJ1" s="68"/>
      <c r="RDK1" s="68"/>
      <c r="RDL1" s="68"/>
      <c r="RDM1" s="68"/>
      <c r="RDN1" s="68"/>
      <c r="RDO1" s="68"/>
      <c r="RDP1" s="68"/>
      <c r="RDQ1" s="68"/>
      <c r="RDR1" s="68"/>
      <c r="RDS1" s="68"/>
      <c r="RDT1" s="68"/>
      <c r="RDU1" s="68"/>
      <c r="RDV1" s="68"/>
      <c r="RDW1" s="68"/>
      <c r="RDX1" s="68"/>
      <c r="RDY1" s="68"/>
      <c r="RDZ1" s="68"/>
      <c r="REA1" s="68"/>
      <c r="REB1" s="68"/>
      <c r="REC1" s="68"/>
      <c r="RED1" s="68"/>
      <c r="REE1" s="68"/>
      <c r="REF1" s="68"/>
      <c r="REG1" s="68"/>
      <c r="REH1" s="68"/>
      <c r="REI1" s="68"/>
      <c r="REJ1" s="68"/>
      <c r="REK1" s="68"/>
      <c r="REL1" s="68"/>
      <c r="REM1" s="68"/>
      <c r="REN1" s="68"/>
      <c r="REO1" s="68"/>
      <c r="REP1" s="68"/>
      <c r="REQ1" s="68"/>
      <c r="RER1" s="68"/>
      <c r="RES1" s="68"/>
      <c r="RET1" s="68"/>
      <c r="REU1" s="68"/>
      <c r="REV1" s="68"/>
      <c r="REW1" s="68"/>
      <c r="REX1" s="68"/>
      <c r="REY1" s="68"/>
      <c r="REZ1" s="68"/>
      <c r="RFA1" s="68"/>
      <c r="RFB1" s="68"/>
      <c r="RFC1" s="68"/>
      <c r="RFD1" s="68"/>
      <c r="RFE1" s="68"/>
      <c r="RFF1" s="68"/>
      <c r="RFG1" s="68"/>
      <c r="RFH1" s="68"/>
      <c r="RFI1" s="68"/>
      <c r="RFJ1" s="68"/>
      <c r="RFK1" s="68"/>
      <c r="RFL1" s="68"/>
      <c r="RFM1" s="68"/>
      <c r="RFN1" s="68"/>
      <c r="RFO1" s="68"/>
      <c r="RFP1" s="68"/>
      <c r="RFQ1" s="68"/>
      <c r="RFR1" s="68"/>
      <c r="RFS1" s="68"/>
      <c r="RFT1" s="68"/>
      <c r="RFU1" s="68"/>
      <c r="RFV1" s="68"/>
      <c r="RFW1" s="68"/>
      <c r="RFX1" s="68"/>
      <c r="RFY1" s="68"/>
      <c r="RFZ1" s="68"/>
      <c r="RGA1" s="68"/>
      <c r="RGB1" s="68"/>
      <c r="RGC1" s="68"/>
      <c r="RGD1" s="68"/>
      <c r="RGE1" s="68"/>
      <c r="RGF1" s="68"/>
      <c r="RGG1" s="68"/>
      <c r="RGH1" s="68"/>
      <c r="RGI1" s="68"/>
      <c r="RGJ1" s="68"/>
      <c r="RGK1" s="68"/>
      <c r="RGL1" s="68"/>
      <c r="RGM1" s="68"/>
      <c r="RGN1" s="68"/>
      <c r="RGO1" s="68"/>
      <c r="RGP1" s="68"/>
      <c r="RGQ1" s="68"/>
      <c r="RGR1" s="68"/>
      <c r="RGS1" s="68"/>
      <c r="RGT1" s="68"/>
      <c r="RGU1" s="68"/>
      <c r="RGV1" s="68"/>
      <c r="RGW1" s="68"/>
      <c r="RGX1" s="68"/>
      <c r="RGY1" s="68"/>
      <c r="RGZ1" s="68"/>
      <c r="RHA1" s="68"/>
      <c r="RHB1" s="68"/>
      <c r="RHC1" s="68"/>
      <c r="RHD1" s="68"/>
      <c r="RHE1" s="68"/>
      <c r="RHF1" s="68"/>
      <c r="RHG1" s="68"/>
      <c r="RHH1" s="68"/>
      <c r="RHI1" s="68"/>
      <c r="RHJ1" s="68"/>
      <c r="RHK1" s="68"/>
      <c r="RHL1" s="68"/>
      <c r="RHM1" s="68"/>
      <c r="RHN1" s="68"/>
      <c r="RHO1" s="68"/>
      <c r="RHP1" s="68"/>
      <c r="RHQ1" s="68"/>
      <c r="RHR1" s="68"/>
      <c r="RHS1" s="68"/>
      <c r="RHT1" s="68"/>
      <c r="RHU1" s="68"/>
      <c r="RHV1" s="68"/>
      <c r="RHW1" s="68"/>
      <c r="RHX1" s="68"/>
      <c r="RHY1" s="68"/>
      <c r="RHZ1" s="68"/>
      <c r="RIA1" s="68"/>
      <c r="RIB1" s="68"/>
      <c r="RIC1" s="68"/>
      <c r="RID1" s="68"/>
      <c r="RIE1" s="68"/>
      <c r="RIF1" s="68"/>
      <c r="RIG1" s="68"/>
      <c r="RIH1" s="68"/>
      <c r="RII1" s="68"/>
      <c r="RIJ1" s="68"/>
      <c r="RIK1" s="68"/>
      <c r="RIL1" s="68"/>
      <c r="RIM1" s="68"/>
      <c r="RIN1" s="68"/>
      <c r="RIO1" s="68"/>
      <c r="RIP1" s="68"/>
      <c r="RIQ1" s="68"/>
      <c r="RIR1" s="68"/>
      <c r="RIS1" s="68"/>
      <c r="RIT1" s="68"/>
      <c r="RIU1" s="68"/>
      <c r="RIV1" s="68"/>
      <c r="RIW1" s="68"/>
      <c r="RIX1" s="68"/>
      <c r="RIY1" s="68"/>
      <c r="RIZ1" s="68"/>
      <c r="RJA1" s="68"/>
      <c r="RJB1" s="68"/>
      <c r="RJC1" s="68"/>
      <c r="RJD1" s="68"/>
      <c r="RJE1" s="68"/>
      <c r="RJF1" s="68"/>
      <c r="RJG1" s="68"/>
      <c r="RJH1" s="68"/>
      <c r="RJI1" s="68"/>
      <c r="RJJ1" s="68"/>
      <c r="RJK1" s="68"/>
      <c r="RJL1" s="68"/>
      <c r="RJM1" s="68"/>
      <c r="RJN1" s="68"/>
      <c r="RJO1" s="68"/>
      <c r="RJP1" s="68"/>
      <c r="RJQ1" s="68"/>
      <c r="RJR1" s="68"/>
      <c r="RJS1" s="68"/>
      <c r="RJT1" s="68"/>
      <c r="RJU1" s="68"/>
      <c r="RJV1" s="68"/>
      <c r="RJW1" s="68"/>
      <c r="RJX1" s="68"/>
      <c r="RJY1" s="68"/>
      <c r="RJZ1" s="68"/>
      <c r="RKA1" s="68"/>
      <c r="RKB1" s="68"/>
      <c r="RKC1" s="68"/>
      <c r="RKD1" s="68"/>
      <c r="RKE1" s="68"/>
      <c r="RKF1" s="68"/>
      <c r="RKG1" s="68"/>
      <c r="RKH1" s="68"/>
      <c r="RKI1" s="68"/>
      <c r="RKJ1" s="68"/>
      <c r="RKK1" s="68"/>
      <c r="RKL1" s="68"/>
      <c r="RKM1" s="68"/>
      <c r="RKN1" s="68"/>
      <c r="RKO1" s="68"/>
      <c r="RKP1" s="68"/>
      <c r="RKQ1" s="68"/>
      <c r="RKR1" s="68"/>
      <c r="RKS1" s="68"/>
      <c r="RKT1" s="68"/>
      <c r="RKU1" s="68"/>
      <c r="RKV1" s="68"/>
      <c r="RKW1" s="68"/>
      <c r="RKX1" s="68"/>
      <c r="RKY1" s="68"/>
      <c r="RKZ1" s="68"/>
      <c r="RLA1" s="68"/>
      <c r="RLB1" s="68"/>
      <c r="RLC1" s="68"/>
      <c r="RLD1" s="68"/>
      <c r="RLE1" s="68"/>
      <c r="RLF1" s="68"/>
      <c r="RLG1" s="68"/>
      <c r="RLH1" s="68"/>
      <c r="RLI1" s="68"/>
      <c r="RLJ1" s="68"/>
      <c r="RLK1" s="68"/>
      <c r="RLL1" s="68"/>
      <c r="RLM1" s="68"/>
      <c r="RLN1" s="68"/>
      <c r="RLO1" s="68"/>
      <c r="RLP1" s="68"/>
      <c r="RLQ1" s="68"/>
      <c r="RLR1" s="68"/>
      <c r="RLS1" s="68"/>
      <c r="RLT1" s="68"/>
      <c r="RLU1" s="68"/>
      <c r="RLV1" s="68"/>
      <c r="RLW1" s="68"/>
      <c r="RLX1" s="68"/>
      <c r="RLY1" s="68"/>
      <c r="RLZ1" s="68"/>
      <c r="RMA1" s="68"/>
      <c r="RMB1" s="68"/>
      <c r="RMC1" s="68"/>
      <c r="RMD1" s="68"/>
      <c r="RME1" s="68"/>
      <c r="RMF1" s="68"/>
      <c r="RMG1" s="68"/>
      <c r="RMH1" s="68"/>
      <c r="RMI1" s="68"/>
      <c r="RMJ1" s="68"/>
      <c r="RMK1" s="68"/>
      <c r="RML1" s="68"/>
      <c r="RMM1" s="68"/>
      <c r="RMN1" s="68"/>
      <c r="RMO1" s="68"/>
      <c r="RMP1" s="68"/>
      <c r="RMQ1" s="68"/>
      <c r="RMR1" s="68"/>
      <c r="RMS1" s="68"/>
      <c r="RMT1" s="68"/>
      <c r="RMU1" s="68"/>
      <c r="RMV1" s="68"/>
      <c r="RMW1" s="68"/>
      <c r="RMX1" s="68"/>
      <c r="RMY1" s="68"/>
      <c r="RMZ1" s="68"/>
      <c r="RNA1" s="68"/>
      <c r="RNB1" s="68"/>
      <c r="RNC1" s="68"/>
      <c r="RND1" s="68"/>
      <c r="RNE1" s="68"/>
      <c r="RNF1" s="68"/>
      <c r="RNG1" s="68"/>
      <c r="RNH1" s="68"/>
      <c r="RNI1" s="68"/>
      <c r="RNJ1" s="68"/>
      <c r="RNK1" s="68"/>
      <c r="RNL1" s="68"/>
      <c r="RNM1" s="68"/>
      <c r="RNN1" s="68"/>
      <c r="RNO1" s="68"/>
      <c r="RNP1" s="68"/>
      <c r="RNQ1" s="68"/>
      <c r="RNR1" s="68"/>
      <c r="RNS1" s="68"/>
      <c r="RNT1" s="68"/>
      <c r="RNU1" s="68"/>
      <c r="RNV1" s="68"/>
      <c r="RNW1" s="68"/>
      <c r="RNX1" s="68"/>
      <c r="RNY1" s="68"/>
      <c r="RNZ1" s="68"/>
      <c r="ROA1" s="68"/>
      <c r="ROB1" s="68"/>
      <c r="ROC1" s="68"/>
      <c r="ROD1" s="68"/>
      <c r="ROE1" s="68"/>
      <c r="ROF1" s="68"/>
      <c r="ROG1" s="68"/>
      <c r="ROH1" s="68"/>
      <c r="ROI1" s="68"/>
      <c r="ROJ1" s="68"/>
      <c r="ROK1" s="68"/>
      <c r="ROL1" s="68"/>
      <c r="ROM1" s="68"/>
      <c r="RON1" s="68"/>
      <c r="ROO1" s="68"/>
      <c r="ROP1" s="68"/>
      <c r="ROQ1" s="68"/>
      <c r="ROR1" s="68"/>
      <c r="ROS1" s="68"/>
      <c r="ROT1" s="68"/>
      <c r="ROU1" s="68"/>
      <c r="ROV1" s="68"/>
      <c r="ROW1" s="68"/>
      <c r="ROX1" s="68"/>
      <c r="ROY1" s="68"/>
      <c r="ROZ1" s="68"/>
      <c r="RPA1" s="68"/>
      <c r="RPB1" s="68"/>
      <c r="RPC1" s="68"/>
      <c r="RPD1" s="68"/>
      <c r="RPE1" s="68"/>
      <c r="RPF1" s="68"/>
      <c r="RPG1" s="68"/>
      <c r="RPH1" s="68"/>
      <c r="RPI1" s="68"/>
      <c r="RPJ1" s="68"/>
      <c r="RPK1" s="68"/>
      <c r="RPL1" s="68"/>
      <c r="RPM1" s="68"/>
      <c r="RPN1" s="68"/>
      <c r="RPO1" s="68"/>
      <c r="RPP1" s="68"/>
      <c r="RPQ1" s="68"/>
      <c r="RPR1" s="68"/>
      <c r="RPS1" s="68"/>
      <c r="RPT1" s="68"/>
      <c r="RPU1" s="68"/>
      <c r="RPV1" s="68"/>
      <c r="RPW1" s="68"/>
      <c r="RPX1" s="68"/>
      <c r="RPY1" s="68"/>
      <c r="RPZ1" s="68"/>
      <c r="RQA1" s="68"/>
      <c r="RQB1" s="68"/>
      <c r="RQC1" s="68"/>
      <c r="RQD1" s="68"/>
      <c r="RQE1" s="68"/>
      <c r="RQF1" s="68"/>
      <c r="RQG1" s="68"/>
      <c r="RQH1" s="68"/>
      <c r="RQI1" s="68"/>
      <c r="RQJ1" s="68"/>
      <c r="RQK1" s="68"/>
      <c r="RQL1" s="68"/>
      <c r="RQM1" s="68"/>
      <c r="RQN1" s="68"/>
      <c r="RQO1" s="68"/>
      <c r="RQP1" s="68"/>
      <c r="RQQ1" s="68"/>
      <c r="RQR1" s="68"/>
      <c r="RQS1" s="68"/>
      <c r="RQT1" s="68"/>
      <c r="RQU1" s="68"/>
      <c r="RQV1" s="68"/>
      <c r="RQW1" s="68"/>
      <c r="RQX1" s="68"/>
      <c r="RQY1" s="68"/>
      <c r="RQZ1" s="68"/>
      <c r="RRA1" s="68"/>
      <c r="RRB1" s="68"/>
      <c r="RRC1" s="68"/>
      <c r="RRD1" s="68"/>
      <c r="RRE1" s="68"/>
      <c r="RRF1" s="68"/>
      <c r="RRG1" s="68"/>
      <c r="RRH1" s="68"/>
      <c r="RRI1" s="68"/>
      <c r="RRJ1" s="68"/>
      <c r="RRK1" s="68"/>
      <c r="RRL1" s="68"/>
      <c r="RRM1" s="68"/>
      <c r="RRN1" s="68"/>
      <c r="RRO1" s="68"/>
      <c r="RRP1" s="68"/>
      <c r="RRQ1" s="68"/>
      <c r="RRR1" s="68"/>
      <c r="RRS1" s="68"/>
      <c r="RRT1" s="68"/>
      <c r="RRU1" s="68"/>
      <c r="RRV1" s="68"/>
      <c r="RRW1" s="68"/>
      <c r="RRX1" s="68"/>
      <c r="RRY1" s="68"/>
      <c r="RRZ1" s="68"/>
      <c r="RSA1" s="68"/>
      <c r="RSB1" s="68"/>
      <c r="RSC1" s="68"/>
      <c r="RSD1" s="68"/>
      <c r="RSE1" s="68"/>
      <c r="RSF1" s="68"/>
      <c r="RSG1" s="68"/>
      <c r="RSH1" s="68"/>
      <c r="RSI1" s="68"/>
      <c r="RSJ1" s="68"/>
      <c r="RSK1" s="68"/>
      <c r="RSL1" s="68"/>
      <c r="RSM1" s="68"/>
      <c r="RSN1" s="68"/>
      <c r="RSO1" s="68"/>
      <c r="RSP1" s="68"/>
      <c r="RSQ1" s="68"/>
      <c r="RSR1" s="68"/>
      <c r="RSS1" s="68"/>
      <c r="RST1" s="68"/>
      <c r="RSU1" s="68"/>
      <c r="RSV1" s="68"/>
      <c r="RSW1" s="68"/>
      <c r="RSX1" s="68"/>
      <c r="RSY1" s="68"/>
      <c r="RSZ1" s="68"/>
      <c r="RTA1" s="68"/>
      <c r="RTB1" s="68"/>
      <c r="RTC1" s="68"/>
      <c r="RTD1" s="68"/>
      <c r="RTE1" s="68"/>
      <c r="RTF1" s="68"/>
      <c r="RTG1" s="68"/>
      <c r="RTH1" s="68"/>
      <c r="RTI1" s="68"/>
      <c r="RTJ1" s="68"/>
      <c r="RTK1" s="68"/>
      <c r="RTL1" s="68"/>
      <c r="RTM1" s="68"/>
      <c r="RTN1" s="68"/>
      <c r="RTO1" s="68"/>
      <c r="RTP1" s="68"/>
      <c r="RTQ1" s="68"/>
      <c r="RTR1" s="68"/>
      <c r="RTS1" s="68"/>
      <c r="RTT1" s="68"/>
      <c r="RTU1" s="68"/>
      <c r="RTV1" s="68"/>
      <c r="RTW1" s="68"/>
      <c r="RTX1" s="68"/>
      <c r="RTY1" s="68"/>
      <c r="RTZ1" s="68"/>
      <c r="RUA1" s="68"/>
      <c r="RUB1" s="68"/>
      <c r="RUC1" s="68"/>
      <c r="RUD1" s="68"/>
      <c r="RUE1" s="68"/>
      <c r="RUF1" s="68"/>
      <c r="RUG1" s="68"/>
      <c r="RUH1" s="68"/>
      <c r="RUI1" s="68"/>
      <c r="RUJ1" s="68"/>
      <c r="RUK1" s="68"/>
      <c r="RUL1" s="68"/>
      <c r="RUM1" s="68"/>
      <c r="RUN1" s="68"/>
      <c r="RUO1" s="68"/>
      <c r="RUP1" s="68"/>
      <c r="RUQ1" s="68"/>
      <c r="RUR1" s="68"/>
      <c r="RUS1" s="68"/>
      <c r="RUT1" s="68"/>
      <c r="RUU1" s="68"/>
      <c r="RUV1" s="68"/>
      <c r="RUW1" s="68"/>
      <c r="RUX1" s="68"/>
      <c r="RUY1" s="68"/>
      <c r="RUZ1" s="68"/>
      <c r="RVA1" s="68"/>
      <c r="RVB1" s="68"/>
      <c r="RVC1" s="68"/>
      <c r="RVD1" s="68"/>
      <c r="RVE1" s="68"/>
      <c r="RVF1" s="68"/>
      <c r="RVG1" s="68"/>
      <c r="RVH1" s="68"/>
      <c r="RVI1" s="68"/>
      <c r="RVJ1" s="68"/>
      <c r="RVK1" s="68"/>
      <c r="RVL1" s="68"/>
      <c r="RVM1" s="68"/>
      <c r="RVN1" s="68"/>
      <c r="RVO1" s="68"/>
      <c r="RVP1" s="68"/>
      <c r="RVQ1" s="68"/>
      <c r="RVR1" s="68"/>
      <c r="RVS1" s="68"/>
      <c r="RVT1" s="68"/>
      <c r="RVU1" s="68"/>
      <c r="RVV1" s="68"/>
      <c r="RVW1" s="68"/>
      <c r="RVX1" s="68"/>
      <c r="RVY1" s="68"/>
      <c r="RVZ1" s="68"/>
      <c r="RWA1" s="68"/>
      <c r="RWB1" s="68"/>
      <c r="RWC1" s="68"/>
      <c r="RWD1" s="68"/>
      <c r="RWE1" s="68"/>
      <c r="RWF1" s="68"/>
      <c r="RWG1" s="68"/>
      <c r="RWH1" s="68"/>
      <c r="RWI1" s="68"/>
      <c r="RWJ1" s="68"/>
      <c r="RWK1" s="68"/>
      <c r="RWL1" s="68"/>
      <c r="RWM1" s="68"/>
      <c r="RWN1" s="68"/>
      <c r="RWO1" s="68"/>
      <c r="RWP1" s="68"/>
      <c r="RWQ1" s="68"/>
      <c r="RWR1" s="68"/>
      <c r="RWS1" s="68"/>
      <c r="RWT1" s="68"/>
      <c r="RWU1" s="68"/>
      <c r="RWV1" s="68"/>
      <c r="RWW1" s="68"/>
      <c r="RWX1" s="68"/>
      <c r="RWY1" s="68"/>
      <c r="RWZ1" s="68"/>
      <c r="RXA1" s="68"/>
      <c r="RXB1" s="68"/>
      <c r="RXC1" s="68"/>
      <c r="RXD1" s="68"/>
      <c r="RXE1" s="68"/>
      <c r="RXF1" s="68"/>
      <c r="RXG1" s="68"/>
      <c r="RXH1" s="68"/>
      <c r="RXI1" s="68"/>
      <c r="RXJ1" s="68"/>
      <c r="RXK1" s="68"/>
      <c r="RXL1" s="68"/>
      <c r="RXM1" s="68"/>
      <c r="RXN1" s="68"/>
      <c r="RXO1" s="68"/>
      <c r="RXP1" s="68"/>
      <c r="RXQ1" s="68"/>
      <c r="RXR1" s="68"/>
      <c r="RXS1" s="68"/>
      <c r="RXT1" s="68"/>
      <c r="RXU1" s="68"/>
      <c r="RXV1" s="68"/>
      <c r="RXW1" s="68"/>
      <c r="RXX1" s="68"/>
      <c r="RXY1" s="68"/>
      <c r="RXZ1" s="68"/>
      <c r="RYA1" s="68"/>
      <c r="RYB1" s="68"/>
      <c r="RYC1" s="68"/>
      <c r="RYD1" s="68"/>
      <c r="RYE1" s="68"/>
      <c r="RYF1" s="68"/>
      <c r="RYG1" s="68"/>
      <c r="RYH1" s="68"/>
      <c r="RYI1" s="68"/>
      <c r="RYJ1" s="68"/>
      <c r="RYK1" s="68"/>
      <c r="RYL1" s="68"/>
      <c r="RYM1" s="68"/>
      <c r="RYN1" s="68"/>
      <c r="RYO1" s="68"/>
      <c r="RYP1" s="68"/>
      <c r="RYQ1" s="68"/>
      <c r="RYR1" s="68"/>
      <c r="RYS1" s="68"/>
      <c r="RYT1" s="68"/>
      <c r="RYU1" s="68"/>
      <c r="RYV1" s="68"/>
      <c r="RYW1" s="68"/>
      <c r="RYX1" s="68"/>
      <c r="RYY1" s="68"/>
      <c r="RYZ1" s="68"/>
      <c r="RZA1" s="68"/>
      <c r="RZB1" s="68"/>
      <c r="RZC1" s="68"/>
      <c r="RZD1" s="68"/>
      <c r="RZE1" s="68"/>
      <c r="RZF1" s="68"/>
      <c r="RZG1" s="68"/>
      <c r="RZH1" s="68"/>
      <c r="RZI1" s="68"/>
      <c r="RZJ1" s="68"/>
      <c r="RZK1" s="68"/>
      <c r="RZL1" s="68"/>
      <c r="RZM1" s="68"/>
      <c r="RZN1" s="68"/>
      <c r="RZO1" s="68"/>
      <c r="RZP1" s="68"/>
      <c r="RZQ1" s="68"/>
      <c r="RZR1" s="68"/>
      <c r="RZS1" s="68"/>
      <c r="RZT1" s="68"/>
      <c r="RZU1" s="68"/>
      <c r="RZV1" s="68"/>
      <c r="RZW1" s="68"/>
      <c r="RZX1" s="68"/>
      <c r="RZY1" s="68"/>
      <c r="RZZ1" s="68"/>
      <c r="SAA1" s="68"/>
      <c r="SAB1" s="68"/>
      <c r="SAC1" s="68"/>
      <c r="SAD1" s="68"/>
      <c r="SAE1" s="68"/>
      <c r="SAF1" s="68"/>
      <c r="SAG1" s="68"/>
      <c r="SAH1" s="68"/>
      <c r="SAI1" s="68"/>
      <c r="SAJ1" s="68"/>
      <c r="SAK1" s="68"/>
      <c r="SAL1" s="68"/>
      <c r="SAM1" s="68"/>
      <c r="SAN1" s="68"/>
      <c r="SAO1" s="68"/>
      <c r="SAP1" s="68"/>
      <c r="SAQ1" s="68"/>
      <c r="SAR1" s="68"/>
      <c r="SAS1" s="68"/>
      <c r="SAT1" s="68"/>
      <c r="SAU1" s="68"/>
      <c r="SAV1" s="68"/>
      <c r="SAW1" s="68"/>
      <c r="SAX1" s="68"/>
      <c r="SAY1" s="68"/>
      <c r="SAZ1" s="68"/>
      <c r="SBA1" s="68"/>
      <c r="SBB1" s="68"/>
      <c r="SBC1" s="68"/>
      <c r="SBD1" s="68"/>
      <c r="SBE1" s="68"/>
      <c r="SBF1" s="68"/>
      <c r="SBG1" s="68"/>
      <c r="SBH1" s="68"/>
      <c r="SBI1" s="68"/>
      <c r="SBJ1" s="68"/>
      <c r="SBK1" s="68"/>
      <c r="SBL1" s="68"/>
      <c r="SBM1" s="68"/>
      <c r="SBN1" s="68"/>
      <c r="SBO1" s="68"/>
      <c r="SBP1" s="68"/>
      <c r="SBQ1" s="68"/>
      <c r="SBR1" s="68"/>
      <c r="SBS1" s="68"/>
      <c r="SBT1" s="68"/>
      <c r="SBU1" s="68"/>
      <c r="SBV1" s="68"/>
      <c r="SBW1" s="68"/>
      <c r="SBX1" s="68"/>
      <c r="SBY1" s="68"/>
      <c r="SBZ1" s="68"/>
      <c r="SCA1" s="68"/>
      <c r="SCB1" s="68"/>
      <c r="SCC1" s="68"/>
      <c r="SCD1" s="68"/>
      <c r="SCE1" s="68"/>
      <c r="SCF1" s="68"/>
      <c r="SCG1" s="68"/>
      <c r="SCH1" s="68"/>
      <c r="SCI1" s="68"/>
      <c r="SCJ1" s="68"/>
      <c r="SCK1" s="68"/>
      <c r="SCL1" s="68"/>
      <c r="SCM1" s="68"/>
      <c r="SCN1" s="68"/>
      <c r="SCO1" s="68"/>
      <c r="SCP1" s="68"/>
      <c r="SCQ1" s="68"/>
      <c r="SCR1" s="68"/>
      <c r="SCS1" s="68"/>
      <c r="SCT1" s="68"/>
      <c r="SCU1" s="68"/>
      <c r="SCV1" s="68"/>
      <c r="SCW1" s="68"/>
      <c r="SCX1" s="68"/>
      <c r="SCY1" s="68"/>
      <c r="SCZ1" s="68"/>
      <c r="SDA1" s="68"/>
      <c r="SDB1" s="68"/>
      <c r="SDC1" s="68"/>
      <c r="SDD1" s="68"/>
      <c r="SDE1" s="68"/>
      <c r="SDF1" s="68"/>
      <c r="SDG1" s="68"/>
      <c r="SDH1" s="68"/>
      <c r="SDI1" s="68"/>
      <c r="SDJ1" s="68"/>
      <c r="SDK1" s="68"/>
      <c r="SDL1" s="68"/>
      <c r="SDM1" s="68"/>
      <c r="SDN1" s="68"/>
      <c r="SDO1" s="68"/>
      <c r="SDP1" s="68"/>
      <c r="SDQ1" s="68"/>
      <c r="SDR1" s="68"/>
      <c r="SDS1" s="68"/>
      <c r="SDT1" s="68"/>
      <c r="SDU1" s="68"/>
      <c r="SDV1" s="68"/>
      <c r="SDW1" s="68"/>
      <c r="SDX1" s="68"/>
      <c r="SDY1" s="68"/>
      <c r="SDZ1" s="68"/>
      <c r="SEA1" s="68"/>
      <c r="SEB1" s="68"/>
      <c r="SEC1" s="68"/>
      <c r="SED1" s="68"/>
      <c r="SEE1" s="68"/>
      <c r="SEF1" s="68"/>
      <c r="SEG1" s="68"/>
      <c r="SEH1" s="68"/>
      <c r="SEI1" s="68"/>
      <c r="SEJ1" s="68"/>
      <c r="SEK1" s="68"/>
      <c r="SEL1" s="68"/>
      <c r="SEM1" s="68"/>
      <c r="SEN1" s="68"/>
      <c r="SEO1" s="68"/>
      <c r="SEP1" s="68"/>
      <c r="SEQ1" s="68"/>
      <c r="SER1" s="68"/>
      <c r="SES1" s="68"/>
      <c r="SET1" s="68"/>
      <c r="SEU1" s="68"/>
      <c r="SEV1" s="68"/>
      <c r="SEW1" s="68"/>
      <c r="SEX1" s="68"/>
      <c r="SEY1" s="68"/>
      <c r="SEZ1" s="68"/>
      <c r="SFA1" s="68"/>
      <c r="SFB1" s="68"/>
      <c r="SFC1" s="68"/>
      <c r="SFD1" s="68"/>
      <c r="SFE1" s="68"/>
      <c r="SFF1" s="68"/>
      <c r="SFG1" s="68"/>
      <c r="SFH1" s="68"/>
      <c r="SFI1" s="68"/>
      <c r="SFJ1" s="68"/>
      <c r="SFK1" s="68"/>
      <c r="SFL1" s="68"/>
      <c r="SFM1" s="68"/>
      <c r="SFN1" s="68"/>
      <c r="SFO1" s="68"/>
      <c r="SFP1" s="68"/>
      <c r="SFQ1" s="68"/>
      <c r="SFR1" s="68"/>
      <c r="SFS1" s="68"/>
      <c r="SFT1" s="68"/>
      <c r="SFU1" s="68"/>
      <c r="SFV1" s="68"/>
      <c r="SFW1" s="68"/>
      <c r="SFX1" s="68"/>
      <c r="SFY1" s="68"/>
      <c r="SFZ1" s="68"/>
      <c r="SGA1" s="68"/>
      <c r="SGB1" s="68"/>
      <c r="SGC1" s="68"/>
      <c r="SGD1" s="68"/>
      <c r="SGE1" s="68"/>
      <c r="SGF1" s="68"/>
      <c r="SGG1" s="68"/>
      <c r="SGH1" s="68"/>
      <c r="SGI1" s="68"/>
      <c r="SGJ1" s="68"/>
      <c r="SGK1" s="68"/>
      <c r="SGL1" s="68"/>
      <c r="SGM1" s="68"/>
      <c r="SGN1" s="68"/>
      <c r="SGO1" s="68"/>
      <c r="SGP1" s="68"/>
      <c r="SGQ1" s="68"/>
      <c r="SGR1" s="68"/>
      <c r="SGS1" s="68"/>
      <c r="SGT1" s="68"/>
      <c r="SGU1" s="68"/>
      <c r="SGV1" s="68"/>
      <c r="SGW1" s="68"/>
      <c r="SGX1" s="68"/>
      <c r="SGY1" s="68"/>
      <c r="SGZ1" s="68"/>
      <c r="SHA1" s="68"/>
      <c r="SHB1" s="68"/>
      <c r="SHC1" s="68"/>
      <c r="SHD1" s="68"/>
      <c r="SHE1" s="68"/>
      <c r="SHF1" s="68"/>
      <c r="SHG1" s="68"/>
      <c r="SHH1" s="68"/>
      <c r="SHI1" s="68"/>
      <c r="SHJ1" s="68"/>
      <c r="SHK1" s="68"/>
      <c r="SHL1" s="68"/>
      <c r="SHM1" s="68"/>
      <c r="SHN1" s="68"/>
      <c r="SHO1" s="68"/>
      <c r="SHP1" s="68"/>
      <c r="SHQ1" s="68"/>
      <c r="SHR1" s="68"/>
      <c r="SHS1" s="68"/>
      <c r="SHT1" s="68"/>
      <c r="SHU1" s="68"/>
      <c r="SHV1" s="68"/>
      <c r="SHW1" s="68"/>
      <c r="SHX1" s="68"/>
      <c r="SHY1" s="68"/>
      <c r="SHZ1" s="68"/>
      <c r="SIA1" s="68"/>
      <c r="SIB1" s="68"/>
      <c r="SIC1" s="68"/>
      <c r="SID1" s="68"/>
      <c r="SIE1" s="68"/>
      <c r="SIF1" s="68"/>
      <c r="SIG1" s="68"/>
      <c r="SIH1" s="68"/>
      <c r="SII1" s="68"/>
      <c r="SIJ1" s="68"/>
      <c r="SIK1" s="68"/>
      <c r="SIL1" s="68"/>
      <c r="SIM1" s="68"/>
      <c r="SIN1" s="68"/>
      <c r="SIO1" s="68"/>
      <c r="SIP1" s="68"/>
      <c r="SIQ1" s="68"/>
      <c r="SIR1" s="68"/>
      <c r="SIS1" s="68"/>
      <c r="SIT1" s="68"/>
      <c r="SIU1" s="68"/>
      <c r="SIV1" s="68"/>
      <c r="SIW1" s="68"/>
      <c r="SIX1" s="68"/>
      <c r="SIY1" s="68"/>
      <c r="SIZ1" s="68"/>
      <c r="SJA1" s="68"/>
      <c r="SJB1" s="68"/>
      <c r="SJC1" s="68"/>
      <c r="SJD1" s="68"/>
      <c r="SJE1" s="68"/>
      <c r="SJF1" s="68"/>
      <c r="SJG1" s="68"/>
      <c r="SJH1" s="68"/>
      <c r="SJI1" s="68"/>
      <c r="SJJ1" s="68"/>
      <c r="SJK1" s="68"/>
      <c r="SJL1" s="68"/>
      <c r="SJM1" s="68"/>
      <c r="SJN1" s="68"/>
      <c r="SJO1" s="68"/>
      <c r="SJP1" s="68"/>
      <c r="SJQ1" s="68"/>
      <c r="SJR1" s="68"/>
      <c r="SJS1" s="68"/>
      <c r="SJT1" s="68"/>
      <c r="SJU1" s="68"/>
      <c r="SJV1" s="68"/>
      <c r="SJW1" s="68"/>
      <c r="SJX1" s="68"/>
      <c r="SJY1" s="68"/>
      <c r="SJZ1" s="68"/>
      <c r="SKA1" s="68"/>
      <c r="SKB1" s="68"/>
      <c r="SKC1" s="68"/>
      <c r="SKD1" s="68"/>
      <c r="SKE1" s="68"/>
      <c r="SKF1" s="68"/>
      <c r="SKG1" s="68"/>
      <c r="SKH1" s="68"/>
      <c r="SKI1" s="68"/>
      <c r="SKJ1" s="68"/>
      <c r="SKK1" s="68"/>
      <c r="SKL1" s="68"/>
      <c r="SKM1" s="68"/>
      <c r="SKN1" s="68"/>
      <c r="SKO1" s="68"/>
      <c r="SKP1" s="68"/>
      <c r="SKQ1" s="68"/>
      <c r="SKR1" s="68"/>
      <c r="SKS1" s="68"/>
      <c r="SKT1" s="68"/>
      <c r="SKU1" s="68"/>
      <c r="SKV1" s="68"/>
      <c r="SKW1" s="68"/>
      <c r="SKX1" s="68"/>
      <c r="SKY1" s="68"/>
      <c r="SKZ1" s="68"/>
      <c r="SLA1" s="68"/>
      <c r="SLB1" s="68"/>
      <c r="SLC1" s="68"/>
      <c r="SLD1" s="68"/>
      <c r="SLE1" s="68"/>
      <c r="SLF1" s="68"/>
      <c r="SLG1" s="68"/>
      <c r="SLH1" s="68"/>
      <c r="SLI1" s="68"/>
      <c r="SLJ1" s="68"/>
      <c r="SLK1" s="68"/>
      <c r="SLL1" s="68"/>
      <c r="SLM1" s="68"/>
      <c r="SLN1" s="68"/>
      <c r="SLO1" s="68"/>
      <c r="SLP1" s="68"/>
      <c r="SLQ1" s="68"/>
      <c r="SLR1" s="68"/>
      <c r="SLS1" s="68"/>
      <c r="SLT1" s="68"/>
      <c r="SLU1" s="68"/>
      <c r="SLV1" s="68"/>
      <c r="SLW1" s="68"/>
      <c r="SLX1" s="68"/>
      <c r="SLY1" s="68"/>
      <c r="SLZ1" s="68"/>
      <c r="SMA1" s="68"/>
      <c r="SMB1" s="68"/>
      <c r="SMC1" s="68"/>
      <c r="SMD1" s="68"/>
      <c r="SME1" s="68"/>
      <c r="SMF1" s="68"/>
      <c r="SMG1" s="68"/>
      <c r="SMH1" s="68"/>
      <c r="SMI1" s="68"/>
      <c r="SMJ1" s="68"/>
      <c r="SMK1" s="68"/>
      <c r="SML1" s="68"/>
      <c r="SMM1" s="68"/>
      <c r="SMN1" s="68"/>
      <c r="SMO1" s="68"/>
      <c r="SMP1" s="68"/>
      <c r="SMQ1" s="68"/>
      <c r="SMR1" s="68"/>
      <c r="SMS1" s="68"/>
      <c r="SMT1" s="68"/>
      <c r="SMU1" s="68"/>
      <c r="SMV1" s="68"/>
      <c r="SMW1" s="68"/>
      <c r="SMX1" s="68"/>
      <c r="SMY1" s="68"/>
      <c r="SMZ1" s="68"/>
      <c r="SNA1" s="68"/>
      <c r="SNB1" s="68"/>
      <c r="SNC1" s="68"/>
      <c r="SND1" s="68"/>
      <c r="SNE1" s="68"/>
      <c r="SNF1" s="68"/>
      <c r="SNG1" s="68"/>
      <c r="SNH1" s="68"/>
      <c r="SNI1" s="68"/>
      <c r="SNJ1" s="68"/>
      <c r="SNK1" s="68"/>
      <c r="SNL1" s="68"/>
      <c r="SNM1" s="68"/>
      <c r="SNN1" s="68"/>
      <c r="SNO1" s="68"/>
      <c r="SNP1" s="68"/>
      <c r="SNQ1" s="68"/>
      <c r="SNR1" s="68"/>
      <c r="SNS1" s="68"/>
      <c r="SNT1" s="68"/>
      <c r="SNU1" s="68"/>
      <c r="SNV1" s="68"/>
      <c r="SNW1" s="68"/>
      <c r="SNX1" s="68"/>
      <c r="SNY1" s="68"/>
      <c r="SNZ1" s="68"/>
      <c r="SOA1" s="68"/>
      <c r="SOB1" s="68"/>
      <c r="SOC1" s="68"/>
      <c r="SOD1" s="68"/>
      <c r="SOE1" s="68"/>
      <c r="SOF1" s="68"/>
      <c r="SOG1" s="68"/>
      <c r="SOH1" s="68"/>
      <c r="SOI1" s="68"/>
      <c r="SOJ1" s="68"/>
      <c r="SOK1" s="68"/>
      <c r="SOL1" s="68"/>
      <c r="SOM1" s="68"/>
      <c r="SON1" s="68"/>
      <c r="SOO1" s="68"/>
      <c r="SOP1" s="68"/>
      <c r="SOQ1" s="68"/>
      <c r="SOR1" s="68"/>
      <c r="SOS1" s="68"/>
      <c r="SOT1" s="68"/>
      <c r="SOU1" s="68"/>
      <c r="SOV1" s="68"/>
      <c r="SOW1" s="68"/>
      <c r="SOX1" s="68"/>
      <c r="SOY1" s="68"/>
      <c r="SOZ1" s="68"/>
      <c r="SPA1" s="68"/>
      <c r="SPB1" s="68"/>
      <c r="SPC1" s="68"/>
      <c r="SPD1" s="68"/>
      <c r="SPE1" s="68"/>
      <c r="SPF1" s="68"/>
      <c r="SPG1" s="68"/>
      <c r="SPH1" s="68"/>
      <c r="SPI1" s="68"/>
      <c r="SPJ1" s="68"/>
      <c r="SPK1" s="68"/>
      <c r="SPL1" s="68"/>
      <c r="SPM1" s="68"/>
      <c r="SPN1" s="68"/>
      <c r="SPO1" s="68"/>
      <c r="SPP1" s="68"/>
      <c r="SPQ1" s="68"/>
      <c r="SPR1" s="68"/>
      <c r="SPS1" s="68"/>
      <c r="SPT1" s="68"/>
      <c r="SPU1" s="68"/>
      <c r="SPV1" s="68"/>
      <c r="SPW1" s="68"/>
      <c r="SPX1" s="68"/>
      <c r="SPY1" s="68"/>
      <c r="SPZ1" s="68"/>
      <c r="SQA1" s="68"/>
      <c r="SQB1" s="68"/>
      <c r="SQC1" s="68"/>
      <c r="SQD1" s="68"/>
      <c r="SQE1" s="68"/>
      <c r="SQF1" s="68"/>
      <c r="SQG1" s="68"/>
      <c r="SQH1" s="68"/>
      <c r="SQI1" s="68"/>
      <c r="SQJ1" s="68"/>
      <c r="SQK1" s="68"/>
      <c r="SQL1" s="68"/>
      <c r="SQM1" s="68"/>
      <c r="SQN1" s="68"/>
      <c r="SQO1" s="68"/>
      <c r="SQP1" s="68"/>
      <c r="SQQ1" s="68"/>
      <c r="SQR1" s="68"/>
      <c r="SQS1" s="68"/>
      <c r="SQT1" s="68"/>
      <c r="SQU1" s="68"/>
      <c r="SQV1" s="68"/>
      <c r="SQW1" s="68"/>
      <c r="SQX1" s="68"/>
      <c r="SQY1" s="68"/>
      <c r="SQZ1" s="68"/>
      <c r="SRA1" s="68"/>
      <c r="SRB1" s="68"/>
      <c r="SRC1" s="68"/>
      <c r="SRD1" s="68"/>
      <c r="SRE1" s="68"/>
      <c r="SRF1" s="68"/>
      <c r="SRG1" s="68"/>
      <c r="SRH1" s="68"/>
      <c r="SRI1" s="68"/>
      <c r="SRJ1" s="68"/>
      <c r="SRK1" s="68"/>
      <c r="SRL1" s="68"/>
      <c r="SRM1" s="68"/>
      <c r="SRN1" s="68"/>
      <c r="SRO1" s="68"/>
      <c r="SRP1" s="68"/>
      <c r="SRQ1" s="68"/>
      <c r="SRR1" s="68"/>
      <c r="SRS1" s="68"/>
      <c r="SRT1" s="68"/>
      <c r="SRU1" s="68"/>
      <c r="SRV1" s="68"/>
      <c r="SRW1" s="68"/>
      <c r="SRX1" s="68"/>
      <c r="SRY1" s="68"/>
      <c r="SRZ1" s="68"/>
      <c r="SSA1" s="68"/>
      <c r="SSB1" s="68"/>
      <c r="SSC1" s="68"/>
      <c r="SSD1" s="68"/>
      <c r="SSE1" s="68"/>
      <c r="SSF1" s="68"/>
      <c r="SSG1" s="68"/>
      <c r="SSH1" s="68"/>
      <c r="SSI1" s="68"/>
      <c r="SSJ1" s="68"/>
      <c r="SSK1" s="68"/>
      <c r="SSL1" s="68"/>
      <c r="SSM1" s="68"/>
      <c r="SSN1" s="68"/>
      <c r="SSO1" s="68"/>
      <c r="SSP1" s="68"/>
      <c r="SSQ1" s="68"/>
      <c r="SSR1" s="68"/>
      <c r="SSS1" s="68"/>
      <c r="SST1" s="68"/>
      <c r="SSU1" s="68"/>
      <c r="SSV1" s="68"/>
      <c r="SSW1" s="68"/>
      <c r="SSX1" s="68"/>
      <c r="SSY1" s="68"/>
      <c r="SSZ1" s="68"/>
      <c r="STA1" s="68"/>
      <c r="STB1" s="68"/>
      <c r="STC1" s="68"/>
      <c r="STD1" s="68"/>
      <c r="STE1" s="68"/>
      <c r="STF1" s="68"/>
      <c r="STG1" s="68"/>
      <c r="STH1" s="68"/>
      <c r="STI1" s="68"/>
      <c r="STJ1" s="68"/>
      <c r="STK1" s="68"/>
      <c r="STL1" s="68"/>
      <c r="STM1" s="68"/>
      <c r="STN1" s="68"/>
      <c r="STO1" s="68"/>
      <c r="STP1" s="68"/>
      <c r="STQ1" s="68"/>
      <c r="STR1" s="68"/>
      <c r="STS1" s="68"/>
      <c r="STT1" s="68"/>
      <c r="STU1" s="68"/>
      <c r="STV1" s="68"/>
      <c r="STW1" s="68"/>
      <c r="STX1" s="68"/>
      <c r="STY1" s="68"/>
      <c r="STZ1" s="68"/>
      <c r="SUA1" s="68"/>
      <c r="SUB1" s="68"/>
      <c r="SUC1" s="68"/>
      <c r="SUD1" s="68"/>
      <c r="SUE1" s="68"/>
      <c r="SUF1" s="68"/>
      <c r="SUG1" s="68"/>
      <c r="SUH1" s="68"/>
      <c r="SUI1" s="68"/>
      <c r="SUJ1" s="68"/>
      <c r="SUK1" s="68"/>
      <c r="SUL1" s="68"/>
      <c r="SUM1" s="68"/>
      <c r="SUN1" s="68"/>
      <c r="SUO1" s="68"/>
      <c r="SUP1" s="68"/>
      <c r="SUQ1" s="68"/>
      <c r="SUR1" s="68"/>
      <c r="SUS1" s="68"/>
      <c r="SUT1" s="68"/>
      <c r="SUU1" s="68"/>
      <c r="SUV1" s="68"/>
      <c r="SUW1" s="68"/>
      <c r="SUX1" s="68"/>
      <c r="SUY1" s="68"/>
      <c r="SUZ1" s="68"/>
      <c r="SVA1" s="68"/>
      <c r="SVB1" s="68"/>
      <c r="SVC1" s="68"/>
      <c r="SVD1" s="68"/>
      <c r="SVE1" s="68"/>
      <c r="SVF1" s="68"/>
      <c r="SVG1" s="68"/>
      <c r="SVH1" s="68"/>
      <c r="SVI1" s="68"/>
      <c r="SVJ1" s="68"/>
      <c r="SVK1" s="68"/>
      <c r="SVL1" s="68"/>
      <c r="SVM1" s="68"/>
      <c r="SVN1" s="68"/>
      <c r="SVO1" s="68"/>
      <c r="SVP1" s="68"/>
      <c r="SVQ1" s="68"/>
      <c r="SVR1" s="68"/>
      <c r="SVS1" s="68"/>
      <c r="SVT1" s="68"/>
      <c r="SVU1" s="68"/>
      <c r="SVV1" s="68"/>
      <c r="SVW1" s="68"/>
      <c r="SVX1" s="68"/>
      <c r="SVY1" s="68"/>
      <c r="SVZ1" s="68"/>
      <c r="SWA1" s="68"/>
      <c r="SWB1" s="68"/>
      <c r="SWC1" s="68"/>
      <c r="SWD1" s="68"/>
      <c r="SWE1" s="68"/>
      <c r="SWF1" s="68"/>
      <c r="SWG1" s="68"/>
      <c r="SWH1" s="68"/>
      <c r="SWI1" s="68"/>
      <c r="SWJ1" s="68"/>
      <c r="SWK1" s="68"/>
      <c r="SWL1" s="68"/>
      <c r="SWM1" s="68"/>
      <c r="SWN1" s="68"/>
      <c r="SWO1" s="68"/>
      <c r="SWP1" s="68"/>
      <c r="SWQ1" s="68"/>
      <c r="SWR1" s="68"/>
      <c r="SWS1" s="68"/>
      <c r="SWT1" s="68"/>
      <c r="SWU1" s="68"/>
      <c r="SWV1" s="68"/>
      <c r="SWW1" s="68"/>
      <c r="SWX1" s="68"/>
      <c r="SWY1" s="68"/>
      <c r="SWZ1" s="68"/>
      <c r="SXA1" s="68"/>
      <c r="SXB1" s="68"/>
      <c r="SXC1" s="68"/>
      <c r="SXD1" s="68"/>
      <c r="SXE1" s="68"/>
      <c r="SXF1" s="68"/>
      <c r="SXG1" s="68"/>
      <c r="SXH1" s="68"/>
      <c r="SXI1" s="68"/>
      <c r="SXJ1" s="68"/>
      <c r="SXK1" s="68"/>
      <c r="SXL1" s="68"/>
      <c r="SXM1" s="68"/>
      <c r="SXN1" s="68"/>
      <c r="SXO1" s="68"/>
      <c r="SXP1" s="68"/>
      <c r="SXQ1" s="68"/>
      <c r="SXR1" s="68"/>
      <c r="SXS1" s="68"/>
      <c r="SXT1" s="68"/>
      <c r="SXU1" s="68"/>
      <c r="SXV1" s="68"/>
      <c r="SXW1" s="68"/>
      <c r="SXX1" s="68"/>
      <c r="SXY1" s="68"/>
      <c r="SXZ1" s="68"/>
      <c r="SYA1" s="68"/>
      <c r="SYB1" s="68"/>
      <c r="SYC1" s="68"/>
      <c r="SYD1" s="68"/>
      <c r="SYE1" s="68"/>
      <c r="SYF1" s="68"/>
      <c r="SYG1" s="68"/>
      <c r="SYH1" s="68"/>
      <c r="SYI1" s="68"/>
      <c r="SYJ1" s="68"/>
      <c r="SYK1" s="68"/>
      <c r="SYL1" s="68"/>
      <c r="SYM1" s="68"/>
      <c r="SYN1" s="68"/>
      <c r="SYO1" s="68"/>
      <c r="SYP1" s="68"/>
      <c r="SYQ1" s="68"/>
      <c r="SYR1" s="68"/>
      <c r="SYS1" s="68"/>
      <c r="SYT1" s="68"/>
      <c r="SYU1" s="68"/>
      <c r="SYV1" s="68"/>
      <c r="SYW1" s="68"/>
      <c r="SYX1" s="68"/>
      <c r="SYY1" s="68"/>
      <c r="SYZ1" s="68"/>
      <c r="SZA1" s="68"/>
      <c r="SZB1" s="68"/>
      <c r="SZC1" s="68"/>
      <c r="SZD1" s="68"/>
      <c r="SZE1" s="68"/>
      <c r="SZF1" s="68"/>
      <c r="SZG1" s="68"/>
      <c r="SZH1" s="68"/>
      <c r="SZI1" s="68"/>
      <c r="SZJ1" s="68"/>
      <c r="SZK1" s="68"/>
      <c r="SZL1" s="68"/>
      <c r="SZM1" s="68"/>
      <c r="SZN1" s="68"/>
      <c r="SZO1" s="68"/>
      <c r="SZP1" s="68"/>
      <c r="SZQ1" s="68"/>
      <c r="SZR1" s="68"/>
      <c r="SZS1" s="68"/>
      <c r="SZT1" s="68"/>
      <c r="SZU1" s="68"/>
      <c r="SZV1" s="68"/>
      <c r="SZW1" s="68"/>
      <c r="SZX1" s="68"/>
      <c r="SZY1" s="68"/>
      <c r="SZZ1" s="68"/>
      <c r="TAA1" s="68"/>
      <c r="TAB1" s="68"/>
      <c r="TAC1" s="68"/>
      <c r="TAD1" s="68"/>
      <c r="TAE1" s="68"/>
      <c r="TAF1" s="68"/>
      <c r="TAG1" s="68"/>
      <c r="TAH1" s="68"/>
      <c r="TAI1" s="68"/>
      <c r="TAJ1" s="68"/>
      <c r="TAK1" s="68"/>
      <c r="TAL1" s="68"/>
      <c r="TAM1" s="68"/>
      <c r="TAN1" s="68"/>
      <c r="TAO1" s="68"/>
      <c r="TAP1" s="68"/>
      <c r="TAQ1" s="68"/>
      <c r="TAR1" s="68"/>
      <c r="TAS1" s="68"/>
      <c r="TAT1" s="68"/>
      <c r="TAU1" s="68"/>
      <c r="TAV1" s="68"/>
      <c r="TAW1" s="68"/>
      <c r="TAX1" s="68"/>
      <c r="TAY1" s="68"/>
      <c r="TAZ1" s="68"/>
      <c r="TBA1" s="68"/>
      <c r="TBB1" s="68"/>
      <c r="TBC1" s="68"/>
      <c r="TBD1" s="68"/>
      <c r="TBE1" s="68"/>
      <c r="TBF1" s="68"/>
      <c r="TBG1" s="68"/>
      <c r="TBH1" s="68"/>
      <c r="TBI1" s="68"/>
      <c r="TBJ1" s="68"/>
      <c r="TBK1" s="68"/>
      <c r="TBL1" s="68"/>
      <c r="TBM1" s="68"/>
      <c r="TBN1" s="68"/>
      <c r="TBO1" s="68"/>
      <c r="TBP1" s="68"/>
      <c r="TBQ1" s="68"/>
      <c r="TBR1" s="68"/>
      <c r="TBS1" s="68"/>
      <c r="TBT1" s="68"/>
      <c r="TBU1" s="68"/>
      <c r="TBV1" s="68"/>
      <c r="TBW1" s="68"/>
      <c r="TBX1" s="68"/>
      <c r="TBY1" s="68"/>
      <c r="TBZ1" s="68"/>
      <c r="TCA1" s="68"/>
      <c r="TCB1" s="68"/>
      <c r="TCC1" s="68"/>
      <c r="TCD1" s="68"/>
      <c r="TCE1" s="68"/>
      <c r="TCF1" s="68"/>
      <c r="TCG1" s="68"/>
      <c r="TCH1" s="68"/>
      <c r="TCI1" s="68"/>
      <c r="TCJ1" s="68"/>
      <c r="TCK1" s="68"/>
      <c r="TCL1" s="68"/>
      <c r="TCM1" s="68"/>
      <c r="TCN1" s="68"/>
      <c r="TCO1" s="68"/>
      <c r="TCP1" s="68"/>
      <c r="TCQ1" s="68"/>
      <c r="TCR1" s="68"/>
      <c r="TCS1" s="68"/>
      <c r="TCT1" s="68"/>
      <c r="TCU1" s="68"/>
      <c r="TCV1" s="68"/>
      <c r="TCW1" s="68"/>
      <c r="TCX1" s="68"/>
      <c r="TCY1" s="68"/>
      <c r="TCZ1" s="68"/>
      <c r="TDA1" s="68"/>
      <c r="TDB1" s="68"/>
      <c r="TDC1" s="68"/>
      <c r="TDD1" s="68"/>
      <c r="TDE1" s="68"/>
      <c r="TDF1" s="68"/>
      <c r="TDG1" s="68"/>
      <c r="TDH1" s="68"/>
      <c r="TDI1" s="68"/>
      <c r="TDJ1" s="68"/>
      <c r="TDK1" s="68"/>
      <c r="TDL1" s="68"/>
      <c r="TDM1" s="68"/>
      <c r="TDN1" s="68"/>
      <c r="TDO1" s="68"/>
      <c r="TDP1" s="68"/>
      <c r="TDQ1" s="68"/>
      <c r="TDR1" s="68"/>
      <c r="TDS1" s="68"/>
      <c r="TDT1" s="68"/>
      <c r="TDU1" s="68"/>
      <c r="TDV1" s="68"/>
      <c r="TDW1" s="68"/>
      <c r="TDX1" s="68"/>
      <c r="TDY1" s="68"/>
      <c r="TDZ1" s="68"/>
      <c r="TEA1" s="68"/>
      <c r="TEB1" s="68"/>
      <c r="TEC1" s="68"/>
      <c r="TED1" s="68"/>
      <c r="TEE1" s="68"/>
      <c r="TEF1" s="68"/>
      <c r="TEG1" s="68"/>
      <c r="TEH1" s="68"/>
      <c r="TEI1" s="68"/>
      <c r="TEJ1" s="68"/>
      <c r="TEK1" s="68"/>
      <c r="TEL1" s="68"/>
      <c r="TEM1" s="68"/>
      <c r="TEN1" s="68"/>
      <c r="TEO1" s="68"/>
      <c r="TEP1" s="68"/>
      <c r="TEQ1" s="68"/>
      <c r="TER1" s="68"/>
      <c r="TES1" s="68"/>
      <c r="TET1" s="68"/>
      <c r="TEU1" s="68"/>
      <c r="TEV1" s="68"/>
      <c r="TEW1" s="68"/>
      <c r="TEX1" s="68"/>
      <c r="TEY1" s="68"/>
      <c r="TEZ1" s="68"/>
      <c r="TFA1" s="68"/>
      <c r="TFB1" s="68"/>
      <c r="TFC1" s="68"/>
      <c r="TFD1" s="68"/>
      <c r="TFE1" s="68"/>
      <c r="TFF1" s="68"/>
      <c r="TFG1" s="68"/>
      <c r="TFH1" s="68"/>
      <c r="TFI1" s="68"/>
      <c r="TFJ1" s="68"/>
      <c r="TFK1" s="68"/>
      <c r="TFL1" s="68"/>
      <c r="TFM1" s="68"/>
      <c r="TFN1" s="68"/>
      <c r="TFO1" s="68"/>
      <c r="TFP1" s="68"/>
      <c r="TFQ1" s="68"/>
      <c r="TFR1" s="68"/>
      <c r="TFS1" s="68"/>
      <c r="TFT1" s="68"/>
      <c r="TFU1" s="68"/>
      <c r="TFV1" s="68"/>
      <c r="TFW1" s="68"/>
      <c r="TFX1" s="68"/>
      <c r="TFY1" s="68"/>
      <c r="TFZ1" s="68"/>
      <c r="TGA1" s="68"/>
      <c r="TGB1" s="68"/>
      <c r="TGC1" s="68"/>
      <c r="TGD1" s="68"/>
      <c r="TGE1" s="68"/>
      <c r="TGF1" s="68"/>
      <c r="TGG1" s="68"/>
      <c r="TGH1" s="68"/>
      <c r="TGI1" s="68"/>
      <c r="TGJ1" s="68"/>
      <c r="TGK1" s="68"/>
      <c r="TGL1" s="68"/>
      <c r="TGM1" s="68"/>
      <c r="TGN1" s="68"/>
      <c r="TGO1" s="68"/>
      <c r="TGP1" s="68"/>
      <c r="TGQ1" s="68"/>
      <c r="TGR1" s="68"/>
      <c r="TGS1" s="68"/>
      <c r="TGT1" s="68"/>
      <c r="TGU1" s="68"/>
      <c r="TGV1" s="68"/>
      <c r="TGW1" s="68"/>
      <c r="TGX1" s="68"/>
      <c r="TGY1" s="68"/>
      <c r="TGZ1" s="68"/>
      <c r="THA1" s="68"/>
      <c r="THB1" s="68"/>
      <c r="THC1" s="68"/>
      <c r="THD1" s="68"/>
      <c r="THE1" s="68"/>
      <c r="THF1" s="68"/>
      <c r="THG1" s="68"/>
      <c r="THH1" s="68"/>
      <c r="THI1" s="68"/>
      <c r="THJ1" s="68"/>
      <c r="THK1" s="68"/>
      <c r="THL1" s="68"/>
      <c r="THM1" s="68"/>
      <c r="THN1" s="68"/>
      <c r="THO1" s="68"/>
      <c r="THP1" s="68"/>
      <c r="THQ1" s="68"/>
      <c r="THR1" s="68"/>
      <c r="THS1" s="68"/>
      <c r="THT1" s="68"/>
      <c r="THU1" s="68"/>
      <c r="THV1" s="68"/>
      <c r="THW1" s="68"/>
      <c r="THX1" s="68"/>
      <c r="THY1" s="68"/>
      <c r="THZ1" s="68"/>
      <c r="TIA1" s="68"/>
      <c r="TIB1" s="68"/>
      <c r="TIC1" s="68"/>
      <c r="TID1" s="68"/>
      <c r="TIE1" s="68"/>
      <c r="TIF1" s="68"/>
      <c r="TIG1" s="68"/>
      <c r="TIH1" s="68"/>
      <c r="TII1" s="68"/>
      <c r="TIJ1" s="68"/>
      <c r="TIK1" s="68"/>
      <c r="TIL1" s="68"/>
      <c r="TIM1" s="68"/>
      <c r="TIN1" s="68"/>
      <c r="TIO1" s="68"/>
      <c r="TIP1" s="68"/>
      <c r="TIQ1" s="68"/>
      <c r="TIR1" s="68"/>
      <c r="TIS1" s="68"/>
      <c r="TIT1" s="68"/>
      <c r="TIU1" s="68"/>
      <c r="TIV1" s="68"/>
      <c r="TIW1" s="68"/>
      <c r="TIX1" s="68"/>
      <c r="TIY1" s="68"/>
      <c r="TIZ1" s="68"/>
      <c r="TJA1" s="68"/>
      <c r="TJB1" s="68"/>
      <c r="TJC1" s="68"/>
      <c r="TJD1" s="68"/>
      <c r="TJE1" s="68"/>
      <c r="TJF1" s="68"/>
      <c r="TJG1" s="68"/>
      <c r="TJH1" s="68"/>
      <c r="TJI1" s="68"/>
      <c r="TJJ1" s="68"/>
      <c r="TJK1" s="68"/>
      <c r="TJL1" s="68"/>
      <c r="TJM1" s="68"/>
      <c r="TJN1" s="68"/>
      <c r="TJO1" s="68"/>
      <c r="TJP1" s="68"/>
      <c r="TJQ1" s="68"/>
      <c r="TJR1" s="68"/>
      <c r="TJS1" s="68"/>
      <c r="TJT1" s="68"/>
      <c r="TJU1" s="68"/>
      <c r="TJV1" s="68"/>
      <c r="TJW1" s="68"/>
      <c r="TJX1" s="68"/>
      <c r="TJY1" s="68"/>
      <c r="TJZ1" s="68"/>
      <c r="TKA1" s="68"/>
      <c r="TKB1" s="68"/>
      <c r="TKC1" s="68"/>
      <c r="TKD1" s="68"/>
      <c r="TKE1" s="68"/>
      <c r="TKF1" s="68"/>
      <c r="TKG1" s="68"/>
      <c r="TKH1" s="68"/>
      <c r="TKI1" s="68"/>
      <c r="TKJ1" s="68"/>
      <c r="TKK1" s="68"/>
      <c r="TKL1" s="68"/>
      <c r="TKM1" s="68"/>
      <c r="TKN1" s="68"/>
      <c r="TKO1" s="68"/>
      <c r="TKP1" s="68"/>
      <c r="TKQ1" s="68"/>
      <c r="TKR1" s="68"/>
      <c r="TKS1" s="68"/>
      <c r="TKT1" s="68"/>
      <c r="TKU1" s="68"/>
      <c r="TKV1" s="68"/>
      <c r="TKW1" s="68"/>
      <c r="TKX1" s="68"/>
      <c r="TKY1" s="68"/>
      <c r="TKZ1" s="68"/>
      <c r="TLA1" s="68"/>
      <c r="TLB1" s="68"/>
      <c r="TLC1" s="68"/>
      <c r="TLD1" s="68"/>
      <c r="TLE1" s="68"/>
      <c r="TLF1" s="68"/>
      <c r="TLG1" s="68"/>
      <c r="TLH1" s="68"/>
      <c r="TLI1" s="68"/>
      <c r="TLJ1" s="68"/>
      <c r="TLK1" s="68"/>
      <c r="TLL1" s="68"/>
      <c r="TLM1" s="68"/>
      <c r="TLN1" s="68"/>
      <c r="TLO1" s="68"/>
      <c r="TLP1" s="68"/>
      <c r="TLQ1" s="68"/>
      <c r="TLR1" s="68"/>
      <c r="TLS1" s="68"/>
      <c r="TLT1" s="68"/>
      <c r="TLU1" s="68"/>
      <c r="TLV1" s="68"/>
      <c r="TLW1" s="68"/>
      <c r="TLX1" s="68"/>
      <c r="TLY1" s="68"/>
      <c r="TLZ1" s="68"/>
      <c r="TMA1" s="68"/>
      <c r="TMB1" s="68"/>
      <c r="TMC1" s="68"/>
      <c r="TMD1" s="68"/>
      <c r="TME1" s="68"/>
      <c r="TMF1" s="68"/>
      <c r="TMG1" s="68"/>
      <c r="TMH1" s="68"/>
      <c r="TMI1" s="68"/>
      <c r="TMJ1" s="68"/>
      <c r="TMK1" s="68"/>
      <c r="TML1" s="68"/>
      <c r="TMM1" s="68"/>
      <c r="TMN1" s="68"/>
      <c r="TMO1" s="68"/>
      <c r="TMP1" s="68"/>
      <c r="TMQ1" s="68"/>
      <c r="TMR1" s="68"/>
      <c r="TMS1" s="68"/>
      <c r="TMT1" s="68"/>
      <c r="TMU1" s="68"/>
      <c r="TMV1" s="68"/>
      <c r="TMW1" s="68"/>
      <c r="TMX1" s="68"/>
      <c r="TMY1" s="68"/>
      <c r="TMZ1" s="68"/>
      <c r="TNA1" s="68"/>
      <c r="TNB1" s="68"/>
      <c r="TNC1" s="68"/>
      <c r="TND1" s="68"/>
      <c r="TNE1" s="68"/>
      <c r="TNF1" s="68"/>
      <c r="TNG1" s="68"/>
      <c r="TNH1" s="68"/>
      <c r="TNI1" s="68"/>
      <c r="TNJ1" s="68"/>
      <c r="TNK1" s="68"/>
      <c r="TNL1" s="68"/>
      <c r="TNM1" s="68"/>
      <c r="TNN1" s="68"/>
      <c r="TNO1" s="68"/>
      <c r="TNP1" s="68"/>
      <c r="TNQ1" s="68"/>
      <c r="TNR1" s="68"/>
      <c r="TNS1" s="68"/>
      <c r="TNT1" s="68"/>
      <c r="TNU1" s="68"/>
      <c r="TNV1" s="68"/>
      <c r="TNW1" s="68"/>
      <c r="TNX1" s="68"/>
      <c r="TNY1" s="68"/>
      <c r="TNZ1" s="68"/>
      <c r="TOA1" s="68"/>
      <c r="TOB1" s="68"/>
      <c r="TOC1" s="68"/>
      <c r="TOD1" s="68"/>
      <c r="TOE1" s="68"/>
      <c r="TOF1" s="68"/>
      <c r="TOG1" s="68"/>
      <c r="TOH1" s="68"/>
      <c r="TOI1" s="68"/>
      <c r="TOJ1" s="68"/>
      <c r="TOK1" s="68"/>
      <c r="TOL1" s="68"/>
      <c r="TOM1" s="68"/>
      <c r="TON1" s="68"/>
      <c r="TOO1" s="68"/>
      <c r="TOP1" s="68"/>
      <c r="TOQ1" s="68"/>
      <c r="TOR1" s="68"/>
      <c r="TOS1" s="68"/>
      <c r="TOT1" s="68"/>
      <c r="TOU1" s="68"/>
      <c r="TOV1" s="68"/>
      <c r="TOW1" s="68"/>
      <c r="TOX1" s="68"/>
      <c r="TOY1" s="68"/>
      <c r="TOZ1" s="68"/>
      <c r="TPA1" s="68"/>
      <c r="TPB1" s="68"/>
      <c r="TPC1" s="68"/>
      <c r="TPD1" s="68"/>
      <c r="TPE1" s="68"/>
      <c r="TPF1" s="68"/>
      <c r="TPG1" s="68"/>
      <c r="TPH1" s="68"/>
      <c r="TPI1" s="68"/>
      <c r="TPJ1" s="68"/>
      <c r="TPK1" s="68"/>
      <c r="TPL1" s="68"/>
      <c r="TPM1" s="68"/>
      <c r="TPN1" s="68"/>
      <c r="TPO1" s="68"/>
      <c r="TPP1" s="68"/>
      <c r="TPQ1" s="68"/>
      <c r="TPR1" s="68"/>
      <c r="TPS1" s="68"/>
      <c r="TPT1" s="68"/>
      <c r="TPU1" s="68"/>
      <c r="TPV1" s="68"/>
      <c r="TPW1" s="68"/>
      <c r="TPX1" s="68"/>
      <c r="TPY1" s="68"/>
      <c r="TPZ1" s="68"/>
      <c r="TQA1" s="68"/>
      <c r="TQB1" s="68"/>
      <c r="TQC1" s="68"/>
      <c r="TQD1" s="68"/>
      <c r="TQE1" s="68"/>
      <c r="TQF1" s="68"/>
      <c r="TQG1" s="68"/>
      <c r="TQH1" s="68"/>
      <c r="TQI1" s="68"/>
      <c r="TQJ1" s="68"/>
      <c r="TQK1" s="68"/>
      <c r="TQL1" s="68"/>
      <c r="TQM1" s="68"/>
      <c r="TQN1" s="68"/>
      <c r="TQO1" s="68"/>
      <c r="TQP1" s="68"/>
      <c r="TQQ1" s="68"/>
      <c r="TQR1" s="68"/>
      <c r="TQS1" s="68"/>
      <c r="TQT1" s="68"/>
      <c r="TQU1" s="68"/>
      <c r="TQV1" s="68"/>
      <c r="TQW1" s="68"/>
      <c r="TQX1" s="68"/>
      <c r="TQY1" s="68"/>
      <c r="TQZ1" s="68"/>
      <c r="TRA1" s="68"/>
      <c r="TRB1" s="68"/>
      <c r="TRC1" s="68"/>
      <c r="TRD1" s="68"/>
      <c r="TRE1" s="68"/>
      <c r="TRF1" s="68"/>
      <c r="TRG1" s="68"/>
      <c r="TRH1" s="68"/>
      <c r="TRI1" s="68"/>
      <c r="TRJ1" s="68"/>
      <c r="TRK1" s="68"/>
      <c r="TRL1" s="68"/>
      <c r="TRM1" s="68"/>
      <c r="TRN1" s="68"/>
      <c r="TRO1" s="68"/>
      <c r="TRP1" s="68"/>
      <c r="TRQ1" s="68"/>
      <c r="TRR1" s="68"/>
      <c r="TRS1" s="68"/>
      <c r="TRT1" s="68"/>
      <c r="TRU1" s="68"/>
      <c r="TRV1" s="68"/>
      <c r="TRW1" s="68"/>
      <c r="TRX1" s="68"/>
      <c r="TRY1" s="68"/>
      <c r="TRZ1" s="68"/>
      <c r="TSA1" s="68"/>
      <c r="TSB1" s="68"/>
      <c r="TSC1" s="68"/>
      <c r="TSD1" s="68"/>
      <c r="TSE1" s="68"/>
      <c r="TSF1" s="68"/>
      <c r="TSG1" s="68"/>
      <c r="TSH1" s="68"/>
      <c r="TSI1" s="68"/>
      <c r="TSJ1" s="68"/>
      <c r="TSK1" s="68"/>
      <c r="TSL1" s="68"/>
      <c r="TSM1" s="68"/>
      <c r="TSN1" s="68"/>
      <c r="TSO1" s="68"/>
      <c r="TSP1" s="68"/>
      <c r="TSQ1" s="68"/>
      <c r="TSR1" s="68"/>
      <c r="TSS1" s="68"/>
      <c r="TST1" s="68"/>
      <c r="TSU1" s="68"/>
      <c r="TSV1" s="68"/>
      <c r="TSW1" s="68"/>
      <c r="TSX1" s="68"/>
      <c r="TSY1" s="68"/>
      <c r="TSZ1" s="68"/>
      <c r="TTA1" s="68"/>
      <c r="TTB1" s="68"/>
      <c r="TTC1" s="68"/>
      <c r="TTD1" s="68"/>
      <c r="TTE1" s="68"/>
      <c r="TTF1" s="68"/>
      <c r="TTG1" s="68"/>
      <c r="TTH1" s="68"/>
      <c r="TTI1" s="68"/>
      <c r="TTJ1" s="68"/>
      <c r="TTK1" s="68"/>
      <c r="TTL1" s="68"/>
      <c r="TTM1" s="68"/>
      <c r="TTN1" s="68"/>
      <c r="TTO1" s="68"/>
      <c r="TTP1" s="68"/>
      <c r="TTQ1" s="68"/>
      <c r="TTR1" s="68"/>
      <c r="TTS1" s="68"/>
      <c r="TTT1" s="68"/>
      <c r="TTU1" s="68"/>
      <c r="TTV1" s="68"/>
      <c r="TTW1" s="68"/>
      <c r="TTX1" s="68"/>
      <c r="TTY1" s="68"/>
      <c r="TTZ1" s="68"/>
      <c r="TUA1" s="68"/>
      <c r="TUB1" s="68"/>
      <c r="TUC1" s="68"/>
      <c r="TUD1" s="68"/>
      <c r="TUE1" s="68"/>
      <c r="TUF1" s="68"/>
      <c r="TUG1" s="68"/>
      <c r="TUH1" s="68"/>
      <c r="TUI1" s="68"/>
      <c r="TUJ1" s="68"/>
      <c r="TUK1" s="68"/>
      <c r="TUL1" s="68"/>
      <c r="TUM1" s="68"/>
      <c r="TUN1" s="68"/>
      <c r="TUO1" s="68"/>
      <c r="TUP1" s="68"/>
      <c r="TUQ1" s="68"/>
      <c r="TUR1" s="68"/>
      <c r="TUS1" s="68"/>
      <c r="TUT1" s="68"/>
      <c r="TUU1" s="68"/>
      <c r="TUV1" s="68"/>
      <c r="TUW1" s="68"/>
      <c r="TUX1" s="68"/>
      <c r="TUY1" s="68"/>
      <c r="TUZ1" s="68"/>
      <c r="TVA1" s="68"/>
      <c r="TVB1" s="68"/>
      <c r="TVC1" s="68"/>
      <c r="TVD1" s="68"/>
      <c r="TVE1" s="68"/>
      <c r="TVF1" s="68"/>
      <c r="TVG1" s="68"/>
      <c r="TVH1" s="68"/>
      <c r="TVI1" s="68"/>
      <c r="TVJ1" s="68"/>
      <c r="TVK1" s="68"/>
      <c r="TVL1" s="68"/>
      <c r="TVM1" s="68"/>
      <c r="TVN1" s="68"/>
      <c r="TVO1" s="68"/>
      <c r="TVP1" s="68"/>
      <c r="TVQ1" s="68"/>
      <c r="TVR1" s="68"/>
      <c r="TVS1" s="68"/>
      <c r="TVT1" s="68"/>
      <c r="TVU1" s="68"/>
      <c r="TVV1" s="68"/>
      <c r="TVW1" s="68"/>
      <c r="TVX1" s="68"/>
      <c r="TVY1" s="68"/>
      <c r="TVZ1" s="68"/>
      <c r="TWA1" s="68"/>
      <c r="TWB1" s="68"/>
      <c r="TWC1" s="68"/>
      <c r="TWD1" s="68"/>
      <c r="TWE1" s="68"/>
      <c r="TWF1" s="68"/>
      <c r="TWG1" s="68"/>
      <c r="TWH1" s="68"/>
      <c r="TWI1" s="68"/>
      <c r="TWJ1" s="68"/>
      <c r="TWK1" s="68"/>
      <c r="TWL1" s="68"/>
      <c r="TWM1" s="68"/>
      <c r="TWN1" s="68"/>
      <c r="TWO1" s="68"/>
      <c r="TWP1" s="68"/>
      <c r="TWQ1" s="68"/>
      <c r="TWR1" s="68"/>
      <c r="TWS1" s="68"/>
      <c r="TWT1" s="68"/>
      <c r="TWU1" s="68"/>
      <c r="TWV1" s="68"/>
      <c r="TWW1" s="68"/>
      <c r="TWX1" s="68"/>
      <c r="TWY1" s="68"/>
      <c r="TWZ1" s="68"/>
      <c r="TXA1" s="68"/>
      <c r="TXB1" s="68"/>
      <c r="TXC1" s="68"/>
      <c r="TXD1" s="68"/>
      <c r="TXE1" s="68"/>
      <c r="TXF1" s="68"/>
      <c r="TXG1" s="68"/>
      <c r="TXH1" s="68"/>
      <c r="TXI1" s="68"/>
      <c r="TXJ1" s="68"/>
      <c r="TXK1" s="68"/>
      <c r="TXL1" s="68"/>
      <c r="TXM1" s="68"/>
      <c r="TXN1" s="68"/>
      <c r="TXO1" s="68"/>
      <c r="TXP1" s="68"/>
      <c r="TXQ1" s="68"/>
      <c r="TXR1" s="68"/>
      <c r="TXS1" s="68"/>
      <c r="TXT1" s="68"/>
      <c r="TXU1" s="68"/>
      <c r="TXV1" s="68"/>
      <c r="TXW1" s="68"/>
      <c r="TXX1" s="68"/>
      <c r="TXY1" s="68"/>
      <c r="TXZ1" s="68"/>
      <c r="TYA1" s="68"/>
      <c r="TYB1" s="68"/>
      <c r="TYC1" s="68"/>
      <c r="TYD1" s="68"/>
      <c r="TYE1" s="68"/>
      <c r="TYF1" s="68"/>
      <c r="TYG1" s="68"/>
      <c r="TYH1" s="68"/>
      <c r="TYI1" s="68"/>
      <c r="TYJ1" s="68"/>
      <c r="TYK1" s="68"/>
      <c r="TYL1" s="68"/>
      <c r="TYM1" s="68"/>
      <c r="TYN1" s="68"/>
      <c r="TYO1" s="68"/>
      <c r="TYP1" s="68"/>
      <c r="TYQ1" s="68"/>
      <c r="TYR1" s="68"/>
      <c r="TYS1" s="68"/>
      <c r="TYT1" s="68"/>
      <c r="TYU1" s="68"/>
      <c r="TYV1" s="68"/>
      <c r="TYW1" s="68"/>
      <c r="TYX1" s="68"/>
      <c r="TYY1" s="68"/>
      <c r="TYZ1" s="68"/>
      <c r="TZA1" s="68"/>
      <c r="TZB1" s="68"/>
      <c r="TZC1" s="68"/>
      <c r="TZD1" s="68"/>
      <c r="TZE1" s="68"/>
      <c r="TZF1" s="68"/>
      <c r="TZG1" s="68"/>
      <c r="TZH1" s="68"/>
      <c r="TZI1" s="68"/>
      <c r="TZJ1" s="68"/>
      <c r="TZK1" s="68"/>
      <c r="TZL1" s="68"/>
      <c r="TZM1" s="68"/>
      <c r="TZN1" s="68"/>
      <c r="TZO1" s="68"/>
      <c r="TZP1" s="68"/>
      <c r="TZQ1" s="68"/>
      <c r="TZR1" s="68"/>
      <c r="TZS1" s="68"/>
      <c r="TZT1" s="68"/>
      <c r="TZU1" s="68"/>
      <c r="TZV1" s="68"/>
      <c r="TZW1" s="68"/>
      <c r="TZX1" s="68"/>
      <c r="TZY1" s="68"/>
      <c r="TZZ1" s="68"/>
      <c r="UAA1" s="68"/>
      <c r="UAB1" s="68"/>
      <c r="UAC1" s="68"/>
      <c r="UAD1" s="68"/>
      <c r="UAE1" s="68"/>
      <c r="UAF1" s="68"/>
      <c r="UAG1" s="68"/>
      <c r="UAH1" s="68"/>
      <c r="UAI1" s="68"/>
      <c r="UAJ1" s="68"/>
      <c r="UAK1" s="68"/>
      <c r="UAL1" s="68"/>
      <c r="UAM1" s="68"/>
      <c r="UAN1" s="68"/>
      <c r="UAO1" s="68"/>
      <c r="UAP1" s="68"/>
      <c r="UAQ1" s="68"/>
      <c r="UAR1" s="68"/>
      <c r="UAS1" s="68"/>
      <c r="UAT1" s="68"/>
      <c r="UAU1" s="68"/>
      <c r="UAV1" s="68"/>
      <c r="UAW1" s="68"/>
      <c r="UAX1" s="68"/>
      <c r="UAY1" s="68"/>
      <c r="UAZ1" s="68"/>
      <c r="UBA1" s="68"/>
      <c r="UBB1" s="68"/>
      <c r="UBC1" s="68"/>
      <c r="UBD1" s="68"/>
      <c r="UBE1" s="68"/>
      <c r="UBF1" s="68"/>
      <c r="UBG1" s="68"/>
      <c r="UBH1" s="68"/>
      <c r="UBI1" s="68"/>
      <c r="UBJ1" s="68"/>
      <c r="UBK1" s="68"/>
      <c r="UBL1" s="68"/>
      <c r="UBM1" s="68"/>
      <c r="UBN1" s="68"/>
      <c r="UBO1" s="68"/>
      <c r="UBP1" s="68"/>
      <c r="UBQ1" s="68"/>
      <c r="UBR1" s="68"/>
      <c r="UBS1" s="68"/>
      <c r="UBT1" s="68"/>
      <c r="UBU1" s="68"/>
      <c r="UBV1" s="68"/>
      <c r="UBW1" s="68"/>
      <c r="UBX1" s="68"/>
      <c r="UBY1" s="68"/>
      <c r="UBZ1" s="68"/>
      <c r="UCA1" s="68"/>
      <c r="UCB1" s="68"/>
      <c r="UCC1" s="68"/>
      <c r="UCD1" s="68"/>
      <c r="UCE1" s="68"/>
      <c r="UCF1" s="68"/>
      <c r="UCG1" s="68"/>
      <c r="UCH1" s="68"/>
      <c r="UCI1" s="68"/>
      <c r="UCJ1" s="68"/>
      <c r="UCK1" s="68"/>
      <c r="UCL1" s="68"/>
      <c r="UCM1" s="68"/>
      <c r="UCN1" s="68"/>
      <c r="UCO1" s="68"/>
      <c r="UCP1" s="68"/>
      <c r="UCQ1" s="68"/>
      <c r="UCR1" s="68"/>
      <c r="UCS1" s="68"/>
      <c r="UCT1" s="68"/>
      <c r="UCU1" s="68"/>
      <c r="UCV1" s="68"/>
      <c r="UCW1" s="68"/>
      <c r="UCX1" s="68"/>
      <c r="UCY1" s="68"/>
      <c r="UCZ1" s="68"/>
      <c r="UDA1" s="68"/>
      <c r="UDB1" s="68"/>
      <c r="UDC1" s="68"/>
      <c r="UDD1" s="68"/>
      <c r="UDE1" s="68"/>
      <c r="UDF1" s="68"/>
      <c r="UDG1" s="68"/>
      <c r="UDH1" s="68"/>
      <c r="UDI1" s="68"/>
      <c r="UDJ1" s="68"/>
      <c r="UDK1" s="68"/>
      <c r="UDL1" s="68"/>
      <c r="UDM1" s="68"/>
      <c r="UDN1" s="68"/>
      <c r="UDO1" s="68"/>
      <c r="UDP1" s="68"/>
      <c r="UDQ1" s="68"/>
      <c r="UDR1" s="68"/>
      <c r="UDS1" s="68"/>
      <c r="UDT1" s="68"/>
      <c r="UDU1" s="68"/>
      <c r="UDV1" s="68"/>
      <c r="UDW1" s="68"/>
      <c r="UDX1" s="68"/>
      <c r="UDY1" s="68"/>
      <c r="UDZ1" s="68"/>
      <c r="UEA1" s="68"/>
      <c r="UEB1" s="68"/>
      <c r="UEC1" s="68"/>
      <c r="UED1" s="68"/>
      <c r="UEE1" s="68"/>
      <c r="UEF1" s="68"/>
      <c r="UEG1" s="68"/>
      <c r="UEH1" s="68"/>
      <c r="UEI1" s="68"/>
      <c r="UEJ1" s="68"/>
      <c r="UEK1" s="68"/>
      <c r="UEL1" s="68"/>
      <c r="UEM1" s="68"/>
      <c r="UEN1" s="68"/>
      <c r="UEO1" s="68"/>
      <c r="UEP1" s="68"/>
      <c r="UEQ1" s="68"/>
      <c r="UER1" s="68"/>
      <c r="UES1" s="68"/>
      <c r="UET1" s="68"/>
      <c r="UEU1" s="68"/>
      <c r="UEV1" s="68"/>
      <c r="UEW1" s="68"/>
      <c r="UEX1" s="68"/>
      <c r="UEY1" s="68"/>
      <c r="UEZ1" s="68"/>
      <c r="UFA1" s="68"/>
      <c r="UFB1" s="68"/>
      <c r="UFC1" s="68"/>
      <c r="UFD1" s="68"/>
      <c r="UFE1" s="68"/>
      <c r="UFF1" s="68"/>
      <c r="UFG1" s="68"/>
      <c r="UFH1" s="68"/>
      <c r="UFI1" s="68"/>
      <c r="UFJ1" s="68"/>
      <c r="UFK1" s="68"/>
      <c r="UFL1" s="68"/>
      <c r="UFM1" s="68"/>
      <c r="UFN1" s="68"/>
      <c r="UFO1" s="68"/>
      <c r="UFP1" s="68"/>
      <c r="UFQ1" s="68"/>
      <c r="UFR1" s="68"/>
      <c r="UFS1" s="68"/>
      <c r="UFT1" s="68"/>
      <c r="UFU1" s="68"/>
      <c r="UFV1" s="68"/>
      <c r="UFW1" s="68"/>
      <c r="UFX1" s="68"/>
      <c r="UFY1" s="68"/>
      <c r="UFZ1" s="68"/>
      <c r="UGA1" s="68"/>
      <c r="UGB1" s="68"/>
      <c r="UGC1" s="68"/>
      <c r="UGD1" s="68"/>
      <c r="UGE1" s="68"/>
      <c r="UGF1" s="68"/>
      <c r="UGG1" s="68"/>
      <c r="UGH1" s="68"/>
      <c r="UGI1" s="68"/>
      <c r="UGJ1" s="68"/>
      <c r="UGK1" s="68"/>
      <c r="UGL1" s="68"/>
      <c r="UGM1" s="68"/>
      <c r="UGN1" s="68"/>
      <c r="UGO1" s="68"/>
      <c r="UGP1" s="68"/>
      <c r="UGQ1" s="68"/>
      <c r="UGR1" s="68"/>
      <c r="UGS1" s="68"/>
      <c r="UGT1" s="68"/>
      <c r="UGU1" s="68"/>
      <c r="UGV1" s="68"/>
      <c r="UGW1" s="68"/>
      <c r="UGX1" s="68"/>
      <c r="UGY1" s="68"/>
      <c r="UGZ1" s="68"/>
      <c r="UHA1" s="68"/>
      <c r="UHB1" s="68"/>
      <c r="UHC1" s="68"/>
      <c r="UHD1" s="68"/>
      <c r="UHE1" s="68"/>
      <c r="UHF1" s="68"/>
      <c r="UHG1" s="68"/>
      <c r="UHH1" s="68"/>
      <c r="UHI1" s="68"/>
      <c r="UHJ1" s="68"/>
      <c r="UHK1" s="68"/>
      <c r="UHL1" s="68"/>
      <c r="UHM1" s="68"/>
      <c r="UHN1" s="68"/>
      <c r="UHO1" s="68"/>
      <c r="UHP1" s="68"/>
      <c r="UHQ1" s="68"/>
      <c r="UHR1" s="68"/>
      <c r="UHS1" s="68"/>
      <c r="UHT1" s="68"/>
      <c r="UHU1" s="68"/>
      <c r="UHV1" s="68"/>
      <c r="UHW1" s="68"/>
      <c r="UHX1" s="68"/>
      <c r="UHY1" s="68"/>
      <c r="UHZ1" s="68"/>
      <c r="UIA1" s="68"/>
      <c r="UIB1" s="68"/>
      <c r="UIC1" s="68"/>
      <c r="UID1" s="68"/>
      <c r="UIE1" s="68"/>
      <c r="UIF1" s="68"/>
      <c r="UIG1" s="68"/>
      <c r="UIH1" s="68"/>
      <c r="UII1" s="68"/>
      <c r="UIJ1" s="68"/>
      <c r="UIK1" s="68"/>
      <c r="UIL1" s="68"/>
      <c r="UIM1" s="68"/>
      <c r="UIN1" s="68"/>
      <c r="UIO1" s="68"/>
      <c r="UIP1" s="68"/>
      <c r="UIQ1" s="68"/>
      <c r="UIR1" s="68"/>
      <c r="UIS1" s="68"/>
      <c r="UIT1" s="68"/>
      <c r="UIU1" s="68"/>
      <c r="UIV1" s="68"/>
      <c r="UIW1" s="68"/>
      <c r="UIX1" s="68"/>
      <c r="UIY1" s="68"/>
      <c r="UIZ1" s="68"/>
      <c r="UJA1" s="68"/>
      <c r="UJB1" s="68"/>
      <c r="UJC1" s="68"/>
      <c r="UJD1" s="68"/>
      <c r="UJE1" s="68"/>
      <c r="UJF1" s="68"/>
      <c r="UJG1" s="68"/>
      <c r="UJH1" s="68"/>
      <c r="UJI1" s="68"/>
      <c r="UJJ1" s="68"/>
      <c r="UJK1" s="68"/>
      <c r="UJL1" s="68"/>
      <c r="UJM1" s="68"/>
      <c r="UJN1" s="68"/>
      <c r="UJO1" s="68"/>
      <c r="UJP1" s="68"/>
      <c r="UJQ1" s="68"/>
      <c r="UJR1" s="68"/>
      <c r="UJS1" s="68"/>
      <c r="UJT1" s="68"/>
      <c r="UJU1" s="68"/>
      <c r="UJV1" s="68"/>
      <c r="UJW1" s="68"/>
      <c r="UJX1" s="68"/>
      <c r="UJY1" s="68"/>
      <c r="UJZ1" s="68"/>
      <c r="UKA1" s="68"/>
      <c r="UKB1" s="68"/>
      <c r="UKC1" s="68"/>
      <c r="UKD1" s="68"/>
      <c r="UKE1" s="68"/>
      <c r="UKF1" s="68"/>
      <c r="UKG1" s="68"/>
      <c r="UKH1" s="68"/>
      <c r="UKI1" s="68"/>
      <c r="UKJ1" s="68"/>
      <c r="UKK1" s="68"/>
      <c r="UKL1" s="68"/>
      <c r="UKM1" s="68"/>
      <c r="UKN1" s="68"/>
      <c r="UKO1" s="68"/>
      <c r="UKP1" s="68"/>
      <c r="UKQ1" s="68"/>
      <c r="UKR1" s="68"/>
      <c r="UKS1" s="68"/>
      <c r="UKT1" s="68"/>
      <c r="UKU1" s="68"/>
      <c r="UKV1" s="68"/>
      <c r="UKW1" s="68"/>
      <c r="UKX1" s="68"/>
      <c r="UKY1" s="68"/>
      <c r="UKZ1" s="68"/>
      <c r="ULA1" s="68"/>
      <c r="ULB1" s="68"/>
      <c r="ULC1" s="68"/>
      <c r="ULD1" s="68"/>
      <c r="ULE1" s="68"/>
      <c r="ULF1" s="68"/>
      <c r="ULG1" s="68"/>
      <c r="ULH1" s="68"/>
      <c r="ULI1" s="68"/>
      <c r="ULJ1" s="68"/>
      <c r="ULK1" s="68"/>
      <c r="ULL1" s="68"/>
      <c r="ULM1" s="68"/>
      <c r="ULN1" s="68"/>
      <c r="ULO1" s="68"/>
      <c r="ULP1" s="68"/>
      <c r="ULQ1" s="68"/>
      <c r="ULR1" s="68"/>
      <c r="ULS1" s="68"/>
      <c r="ULT1" s="68"/>
      <c r="ULU1" s="68"/>
      <c r="ULV1" s="68"/>
      <c r="ULW1" s="68"/>
      <c r="ULX1" s="68"/>
      <c r="ULY1" s="68"/>
      <c r="ULZ1" s="68"/>
      <c r="UMA1" s="68"/>
      <c r="UMB1" s="68"/>
      <c r="UMC1" s="68"/>
      <c r="UMD1" s="68"/>
      <c r="UME1" s="68"/>
      <c r="UMF1" s="68"/>
      <c r="UMG1" s="68"/>
      <c r="UMH1" s="68"/>
      <c r="UMI1" s="68"/>
      <c r="UMJ1" s="68"/>
      <c r="UMK1" s="68"/>
      <c r="UML1" s="68"/>
      <c r="UMM1" s="68"/>
      <c r="UMN1" s="68"/>
      <c r="UMO1" s="68"/>
      <c r="UMP1" s="68"/>
      <c r="UMQ1" s="68"/>
      <c r="UMR1" s="68"/>
      <c r="UMS1" s="68"/>
      <c r="UMT1" s="68"/>
      <c r="UMU1" s="68"/>
      <c r="UMV1" s="68"/>
      <c r="UMW1" s="68"/>
      <c r="UMX1" s="68"/>
      <c r="UMY1" s="68"/>
      <c r="UMZ1" s="68"/>
      <c r="UNA1" s="68"/>
      <c r="UNB1" s="68"/>
      <c r="UNC1" s="68"/>
      <c r="UND1" s="68"/>
      <c r="UNE1" s="68"/>
      <c r="UNF1" s="68"/>
      <c r="UNG1" s="68"/>
      <c r="UNH1" s="68"/>
      <c r="UNI1" s="68"/>
      <c r="UNJ1" s="68"/>
      <c r="UNK1" s="68"/>
      <c r="UNL1" s="68"/>
      <c r="UNM1" s="68"/>
      <c r="UNN1" s="68"/>
      <c r="UNO1" s="68"/>
      <c r="UNP1" s="68"/>
      <c r="UNQ1" s="68"/>
      <c r="UNR1" s="68"/>
      <c r="UNS1" s="68"/>
      <c r="UNT1" s="68"/>
      <c r="UNU1" s="68"/>
      <c r="UNV1" s="68"/>
      <c r="UNW1" s="68"/>
      <c r="UNX1" s="68"/>
      <c r="UNY1" s="68"/>
      <c r="UNZ1" s="68"/>
      <c r="UOA1" s="68"/>
      <c r="UOB1" s="68"/>
      <c r="UOC1" s="68"/>
      <c r="UOD1" s="68"/>
      <c r="UOE1" s="68"/>
      <c r="UOF1" s="68"/>
      <c r="UOG1" s="68"/>
      <c r="UOH1" s="68"/>
      <c r="UOI1" s="68"/>
      <c r="UOJ1" s="68"/>
      <c r="UOK1" s="68"/>
      <c r="UOL1" s="68"/>
      <c r="UOM1" s="68"/>
      <c r="UON1" s="68"/>
      <c r="UOO1" s="68"/>
      <c r="UOP1" s="68"/>
      <c r="UOQ1" s="68"/>
      <c r="UOR1" s="68"/>
      <c r="UOS1" s="68"/>
      <c r="UOT1" s="68"/>
      <c r="UOU1" s="68"/>
      <c r="UOV1" s="68"/>
      <c r="UOW1" s="68"/>
      <c r="UOX1" s="68"/>
      <c r="UOY1" s="68"/>
      <c r="UOZ1" s="68"/>
      <c r="UPA1" s="68"/>
      <c r="UPB1" s="68"/>
      <c r="UPC1" s="68"/>
      <c r="UPD1" s="68"/>
      <c r="UPE1" s="68"/>
      <c r="UPF1" s="68"/>
      <c r="UPG1" s="68"/>
      <c r="UPH1" s="68"/>
      <c r="UPI1" s="68"/>
      <c r="UPJ1" s="68"/>
      <c r="UPK1" s="68"/>
      <c r="UPL1" s="68"/>
      <c r="UPM1" s="68"/>
      <c r="UPN1" s="68"/>
      <c r="UPO1" s="68"/>
      <c r="UPP1" s="68"/>
      <c r="UPQ1" s="68"/>
      <c r="UPR1" s="68"/>
      <c r="UPS1" s="68"/>
      <c r="UPT1" s="68"/>
      <c r="UPU1" s="68"/>
      <c r="UPV1" s="68"/>
      <c r="UPW1" s="68"/>
      <c r="UPX1" s="68"/>
      <c r="UPY1" s="68"/>
      <c r="UPZ1" s="68"/>
      <c r="UQA1" s="68"/>
      <c r="UQB1" s="68"/>
      <c r="UQC1" s="68"/>
      <c r="UQD1" s="68"/>
      <c r="UQE1" s="68"/>
      <c r="UQF1" s="68"/>
      <c r="UQG1" s="68"/>
      <c r="UQH1" s="68"/>
      <c r="UQI1" s="68"/>
      <c r="UQJ1" s="68"/>
      <c r="UQK1" s="68"/>
      <c r="UQL1" s="68"/>
      <c r="UQM1" s="68"/>
      <c r="UQN1" s="68"/>
      <c r="UQO1" s="68"/>
      <c r="UQP1" s="68"/>
      <c r="UQQ1" s="68"/>
      <c r="UQR1" s="68"/>
      <c r="UQS1" s="68"/>
      <c r="UQT1" s="68"/>
      <c r="UQU1" s="68"/>
      <c r="UQV1" s="68"/>
      <c r="UQW1" s="68"/>
      <c r="UQX1" s="68"/>
      <c r="UQY1" s="68"/>
      <c r="UQZ1" s="68"/>
      <c r="URA1" s="68"/>
      <c r="URB1" s="68"/>
      <c r="URC1" s="68"/>
      <c r="URD1" s="68"/>
      <c r="URE1" s="68"/>
      <c r="URF1" s="68"/>
      <c r="URG1" s="68"/>
      <c r="URH1" s="68"/>
      <c r="URI1" s="68"/>
      <c r="URJ1" s="68"/>
      <c r="URK1" s="68"/>
      <c r="URL1" s="68"/>
      <c r="URM1" s="68"/>
      <c r="URN1" s="68"/>
      <c r="URO1" s="68"/>
      <c r="URP1" s="68"/>
      <c r="URQ1" s="68"/>
      <c r="URR1" s="68"/>
      <c r="URS1" s="68"/>
      <c r="URT1" s="68"/>
      <c r="URU1" s="68"/>
      <c r="URV1" s="68"/>
      <c r="URW1" s="68"/>
      <c r="URX1" s="68"/>
      <c r="URY1" s="68"/>
      <c r="URZ1" s="68"/>
      <c r="USA1" s="68"/>
      <c r="USB1" s="68"/>
      <c r="USC1" s="68"/>
      <c r="USD1" s="68"/>
      <c r="USE1" s="68"/>
      <c r="USF1" s="68"/>
      <c r="USG1" s="68"/>
      <c r="USH1" s="68"/>
      <c r="USI1" s="68"/>
      <c r="USJ1" s="68"/>
      <c r="USK1" s="68"/>
      <c r="USL1" s="68"/>
      <c r="USM1" s="68"/>
      <c r="USN1" s="68"/>
      <c r="USO1" s="68"/>
      <c r="USP1" s="68"/>
      <c r="USQ1" s="68"/>
      <c r="USR1" s="68"/>
      <c r="USS1" s="68"/>
      <c r="UST1" s="68"/>
      <c r="USU1" s="68"/>
      <c r="USV1" s="68"/>
      <c r="USW1" s="68"/>
      <c r="USX1" s="68"/>
      <c r="USY1" s="68"/>
      <c r="USZ1" s="68"/>
      <c r="UTA1" s="68"/>
      <c r="UTB1" s="68"/>
      <c r="UTC1" s="68"/>
      <c r="UTD1" s="68"/>
      <c r="UTE1" s="68"/>
      <c r="UTF1" s="68"/>
      <c r="UTG1" s="68"/>
      <c r="UTH1" s="68"/>
      <c r="UTI1" s="68"/>
      <c r="UTJ1" s="68"/>
      <c r="UTK1" s="68"/>
      <c r="UTL1" s="68"/>
      <c r="UTM1" s="68"/>
      <c r="UTN1" s="68"/>
      <c r="UTO1" s="68"/>
      <c r="UTP1" s="68"/>
      <c r="UTQ1" s="68"/>
      <c r="UTR1" s="68"/>
      <c r="UTS1" s="68"/>
      <c r="UTT1" s="68"/>
      <c r="UTU1" s="68"/>
      <c r="UTV1" s="68"/>
      <c r="UTW1" s="68"/>
      <c r="UTX1" s="68"/>
      <c r="UTY1" s="68"/>
      <c r="UTZ1" s="68"/>
      <c r="UUA1" s="68"/>
      <c r="UUB1" s="68"/>
      <c r="UUC1" s="68"/>
      <c r="UUD1" s="68"/>
      <c r="UUE1" s="68"/>
      <c r="UUF1" s="68"/>
      <c r="UUG1" s="68"/>
      <c r="UUH1" s="68"/>
      <c r="UUI1" s="68"/>
      <c r="UUJ1" s="68"/>
      <c r="UUK1" s="68"/>
      <c r="UUL1" s="68"/>
      <c r="UUM1" s="68"/>
      <c r="UUN1" s="68"/>
      <c r="UUO1" s="68"/>
      <c r="UUP1" s="68"/>
      <c r="UUQ1" s="68"/>
      <c r="UUR1" s="68"/>
      <c r="UUS1" s="68"/>
      <c r="UUT1" s="68"/>
      <c r="UUU1" s="68"/>
      <c r="UUV1" s="68"/>
      <c r="UUW1" s="68"/>
      <c r="UUX1" s="68"/>
      <c r="UUY1" s="68"/>
      <c r="UUZ1" s="68"/>
      <c r="UVA1" s="68"/>
      <c r="UVB1" s="68"/>
      <c r="UVC1" s="68"/>
      <c r="UVD1" s="68"/>
      <c r="UVE1" s="68"/>
      <c r="UVF1" s="68"/>
      <c r="UVG1" s="68"/>
      <c r="UVH1" s="68"/>
      <c r="UVI1" s="68"/>
      <c r="UVJ1" s="68"/>
      <c r="UVK1" s="68"/>
      <c r="UVL1" s="68"/>
      <c r="UVM1" s="68"/>
      <c r="UVN1" s="68"/>
      <c r="UVO1" s="68"/>
      <c r="UVP1" s="68"/>
      <c r="UVQ1" s="68"/>
      <c r="UVR1" s="68"/>
      <c r="UVS1" s="68"/>
      <c r="UVT1" s="68"/>
      <c r="UVU1" s="68"/>
      <c r="UVV1" s="68"/>
      <c r="UVW1" s="68"/>
      <c r="UVX1" s="68"/>
      <c r="UVY1" s="68"/>
      <c r="UVZ1" s="68"/>
      <c r="UWA1" s="68"/>
      <c r="UWB1" s="68"/>
      <c r="UWC1" s="68"/>
      <c r="UWD1" s="68"/>
      <c r="UWE1" s="68"/>
      <c r="UWF1" s="68"/>
      <c r="UWG1" s="68"/>
      <c r="UWH1" s="68"/>
      <c r="UWI1" s="68"/>
      <c r="UWJ1" s="68"/>
      <c r="UWK1" s="68"/>
      <c r="UWL1" s="68"/>
      <c r="UWM1" s="68"/>
      <c r="UWN1" s="68"/>
      <c r="UWO1" s="68"/>
      <c r="UWP1" s="68"/>
      <c r="UWQ1" s="68"/>
      <c r="UWR1" s="68"/>
      <c r="UWS1" s="68"/>
      <c r="UWT1" s="68"/>
      <c r="UWU1" s="68"/>
      <c r="UWV1" s="68"/>
      <c r="UWW1" s="68"/>
      <c r="UWX1" s="68"/>
      <c r="UWY1" s="68"/>
      <c r="UWZ1" s="68"/>
      <c r="UXA1" s="68"/>
      <c r="UXB1" s="68"/>
      <c r="UXC1" s="68"/>
      <c r="UXD1" s="68"/>
      <c r="UXE1" s="68"/>
      <c r="UXF1" s="68"/>
      <c r="UXG1" s="68"/>
      <c r="UXH1" s="68"/>
      <c r="UXI1" s="68"/>
      <c r="UXJ1" s="68"/>
      <c r="UXK1" s="68"/>
      <c r="UXL1" s="68"/>
      <c r="UXM1" s="68"/>
      <c r="UXN1" s="68"/>
      <c r="UXO1" s="68"/>
      <c r="UXP1" s="68"/>
      <c r="UXQ1" s="68"/>
      <c r="UXR1" s="68"/>
      <c r="UXS1" s="68"/>
      <c r="UXT1" s="68"/>
      <c r="UXU1" s="68"/>
      <c r="UXV1" s="68"/>
      <c r="UXW1" s="68"/>
      <c r="UXX1" s="68"/>
      <c r="UXY1" s="68"/>
      <c r="UXZ1" s="68"/>
      <c r="UYA1" s="68"/>
      <c r="UYB1" s="68"/>
      <c r="UYC1" s="68"/>
      <c r="UYD1" s="68"/>
      <c r="UYE1" s="68"/>
      <c r="UYF1" s="68"/>
      <c r="UYG1" s="68"/>
      <c r="UYH1" s="68"/>
      <c r="UYI1" s="68"/>
      <c r="UYJ1" s="68"/>
      <c r="UYK1" s="68"/>
      <c r="UYL1" s="68"/>
      <c r="UYM1" s="68"/>
      <c r="UYN1" s="68"/>
      <c r="UYO1" s="68"/>
      <c r="UYP1" s="68"/>
      <c r="UYQ1" s="68"/>
      <c r="UYR1" s="68"/>
      <c r="UYS1" s="68"/>
      <c r="UYT1" s="68"/>
      <c r="UYU1" s="68"/>
      <c r="UYV1" s="68"/>
      <c r="UYW1" s="68"/>
      <c r="UYX1" s="68"/>
      <c r="UYY1" s="68"/>
      <c r="UYZ1" s="68"/>
      <c r="UZA1" s="68"/>
      <c r="UZB1" s="68"/>
      <c r="UZC1" s="68"/>
      <c r="UZD1" s="68"/>
      <c r="UZE1" s="68"/>
      <c r="UZF1" s="68"/>
      <c r="UZG1" s="68"/>
      <c r="UZH1" s="68"/>
      <c r="UZI1" s="68"/>
      <c r="UZJ1" s="68"/>
      <c r="UZK1" s="68"/>
      <c r="UZL1" s="68"/>
      <c r="UZM1" s="68"/>
      <c r="UZN1" s="68"/>
      <c r="UZO1" s="68"/>
      <c r="UZP1" s="68"/>
      <c r="UZQ1" s="68"/>
      <c r="UZR1" s="68"/>
      <c r="UZS1" s="68"/>
      <c r="UZT1" s="68"/>
      <c r="UZU1" s="68"/>
      <c r="UZV1" s="68"/>
      <c r="UZW1" s="68"/>
      <c r="UZX1" s="68"/>
      <c r="UZY1" s="68"/>
      <c r="UZZ1" s="68"/>
      <c r="VAA1" s="68"/>
      <c r="VAB1" s="68"/>
      <c r="VAC1" s="68"/>
      <c r="VAD1" s="68"/>
      <c r="VAE1" s="68"/>
      <c r="VAF1" s="68"/>
      <c r="VAG1" s="68"/>
      <c r="VAH1" s="68"/>
      <c r="VAI1" s="68"/>
      <c r="VAJ1" s="68"/>
      <c r="VAK1" s="68"/>
      <c r="VAL1" s="68"/>
      <c r="VAM1" s="68"/>
      <c r="VAN1" s="68"/>
      <c r="VAO1" s="68"/>
      <c r="VAP1" s="68"/>
      <c r="VAQ1" s="68"/>
      <c r="VAR1" s="68"/>
      <c r="VAS1" s="68"/>
      <c r="VAT1" s="68"/>
      <c r="VAU1" s="68"/>
      <c r="VAV1" s="68"/>
      <c r="VAW1" s="68"/>
      <c r="VAX1" s="68"/>
      <c r="VAY1" s="68"/>
      <c r="VAZ1" s="68"/>
      <c r="VBA1" s="68"/>
      <c r="VBB1" s="68"/>
      <c r="VBC1" s="68"/>
      <c r="VBD1" s="68"/>
      <c r="VBE1" s="68"/>
      <c r="VBF1" s="68"/>
      <c r="VBG1" s="68"/>
      <c r="VBH1" s="68"/>
      <c r="VBI1" s="68"/>
      <c r="VBJ1" s="68"/>
      <c r="VBK1" s="68"/>
      <c r="VBL1" s="68"/>
      <c r="VBM1" s="68"/>
      <c r="VBN1" s="68"/>
      <c r="VBO1" s="68"/>
      <c r="VBP1" s="68"/>
      <c r="VBQ1" s="68"/>
      <c r="VBR1" s="68"/>
      <c r="VBS1" s="68"/>
      <c r="VBT1" s="68"/>
      <c r="VBU1" s="68"/>
      <c r="VBV1" s="68"/>
      <c r="VBW1" s="68"/>
      <c r="VBX1" s="68"/>
      <c r="VBY1" s="68"/>
      <c r="VBZ1" s="68"/>
      <c r="VCA1" s="68"/>
      <c r="VCB1" s="68"/>
      <c r="VCC1" s="68"/>
      <c r="VCD1" s="68"/>
      <c r="VCE1" s="68"/>
      <c r="VCF1" s="68"/>
      <c r="VCG1" s="68"/>
      <c r="VCH1" s="68"/>
      <c r="VCI1" s="68"/>
      <c r="VCJ1" s="68"/>
      <c r="VCK1" s="68"/>
      <c r="VCL1" s="68"/>
      <c r="VCM1" s="68"/>
      <c r="VCN1" s="68"/>
      <c r="VCO1" s="68"/>
      <c r="VCP1" s="68"/>
      <c r="VCQ1" s="68"/>
      <c r="VCR1" s="68"/>
      <c r="VCS1" s="68"/>
      <c r="VCT1" s="68"/>
      <c r="VCU1" s="68"/>
      <c r="VCV1" s="68"/>
      <c r="VCW1" s="68"/>
      <c r="VCX1" s="68"/>
      <c r="VCY1" s="68"/>
      <c r="VCZ1" s="68"/>
      <c r="VDA1" s="68"/>
      <c r="VDB1" s="68"/>
      <c r="VDC1" s="68"/>
      <c r="VDD1" s="68"/>
      <c r="VDE1" s="68"/>
      <c r="VDF1" s="68"/>
      <c r="VDG1" s="68"/>
      <c r="VDH1" s="68"/>
      <c r="VDI1" s="68"/>
      <c r="VDJ1" s="68"/>
      <c r="VDK1" s="68"/>
      <c r="VDL1" s="68"/>
      <c r="VDM1" s="68"/>
      <c r="VDN1" s="68"/>
      <c r="VDO1" s="68"/>
      <c r="VDP1" s="68"/>
      <c r="VDQ1" s="68"/>
      <c r="VDR1" s="68"/>
      <c r="VDS1" s="68"/>
      <c r="VDT1" s="68"/>
      <c r="VDU1" s="68"/>
      <c r="VDV1" s="68"/>
      <c r="VDW1" s="68"/>
      <c r="VDX1" s="68"/>
      <c r="VDY1" s="68"/>
      <c r="VDZ1" s="68"/>
      <c r="VEA1" s="68"/>
      <c r="VEB1" s="68"/>
      <c r="VEC1" s="68"/>
      <c r="VED1" s="68"/>
      <c r="VEE1" s="68"/>
      <c r="VEF1" s="68"/>
      <c r="VEG1" s="68"/>
      <c r="VEH1" s="68"/>
      <c r="VEI1" s="68"/>
      <c r="VEJ1" s="68"/>
      <c r="VEK1" s="68"/>
      <c r="VEL1" s="68"/>
      <c r="VEM1" s="68"/>
      <c r="VEN1" s="68"/>
      <c r="VEO1" s="68"/>
      <c r="VEP1" s="68"/>
      <c r="VEQ1" s="68"/>
      <c r="VER1" s="68"/>
      <c r="VES1" s="68"/>
      <c r="VET1" s="68"/>
      <c r="VEU1" s="68"/>
      <c r="VEV1" s="68"/>
      <c r="VEW1" s="68"/>
      <c r="VEX1" s="68"/>
      <c r="VEY1" s="68"/>
      <c r="VEZ1" s="68"/>
      <c r="VFA1" s="68"/>
      <c r="VFB1" s="68"/>
      <c r="VFC1" s="68"/>
      <c r="VFD1" s="68"/>
      <c r="VFE1" s="68"/>
      <c r="VFF1" s="68"/>
      <c r="VFG1" s="68"/>
      <c r="VFH1" s="68"/>
      <c r="VFI1" s="68"/>
      <c r="VFJ1" s="68"/>
      <c r="VFK1" s="68"/>
      <c r="VFL1" s="68"/>
      <c r="VFM1" s="68"/>
      <c r="VFN1" s="68"/>
      <c r="VFO1" s="68"/>
      <c r="VFP1" s="68"/>
      <c r="VFQ1" s="68"/>
      <c r="VFR1" s="68"/>
      <c r="VFS1" s="68"/>
      <c r="VFT1" s="68"/>
      <c r="VFU1" s="68"/>
      <c r="VFV1" s="68"/>
      <c r="VFW1" s="68"/>
      <c r="VFX1" s="68"/>
      <c r="VFY1" s="68"/>
      <c r="VFZ1" s="68"/>
      <c r="VGA1" s="68"/>
      <c r="VGB1" s="68"/>
      <c r="VGC1" s="68"/>
      <c r="VGD1" s="68"/>
      <c r="VGE1" s="68"/>
      <c r="VGF1" s="68"/>
      <c r="VGG1" s="68"/>
      <c r="VGH1" s="68"/>
      <c r="VGI1" s="68"/>
      <c r="VGJ1" s="68"/>
      <c r="VGK1" s="68"/>
      <c r="VGL1" s="68"/>
      <c r="VGM1" s="68"/>
      <c r="VGN1" s="68"/>
      <c r="VGO1" s="68"/>
      <c r="VGP1" s="68"/>
      <c r="VGQ1" s="68"/>
      <c r="VGR1" s="68"/>
      <c r="VGS1" s="68"/>
      <c r="VGT1" s="68"/>
      <c r="VGU1" s="68"/>
      <c r="VGV1" s="68"/>
      <c r="VGW1" s="68"/>
      <c r="VGX1" s="68"/>
      <c r="VGY1" s="68"/>
      <c r="VGZ1" s="68"/>
      <c r="VHA1" s="68"/>
      <c r="VHB1" s="68"/>
      <c r="VHC1" s="68"/>
      <c r="VHD1" s="68"/>
      <c r="VHE1" s="68"/>
      <c r="VHF1" s="68"/>
      <c r="VHG1" s="68"/>
      <c r="VHH1" s="68"/>
      <c r="VHI1" s="68"/>
      <c r="VHJ1" s="68"/>
      <c r="VHK1" s="68"/>
      <c r="VHL1" s="68"/>
      <c r="VHM1" s="68"/>
      <c r="VHN1" s="68"/>
      <c r="VHO1" s="68"/>
      <c r="VHP1" s="68"/>
      <c r="VHQ1" s="68"/>
      <c r="VHR1" s="68"/>
      <c r="VHS1" s="68"/>
      <c r="VHT1" s="68"/>
      <c r="VHU1" s="68"/>
      <c r="VHV1" s="68"/>
      <c r="VHW1" s="68"/>
      <c r="VHX1" s="68"/>
      <c r="VHY1" s="68"/>
      <c r="VHZ1" s="68"/>
      <c r="VIA1" s="68"/>
      <c r="VIB1" s="68"/>
      <c r="VIC1" s="68"/>
      <c r="VID1" s="68"/>
      <c r="VIE1" s="68"/>
      <c r="VIF1" s="68"/>
      <c r="VIG1" s="68"/>
      <c r="VIH1" s="68"/>
      <c r="VII1" s="68"/>
      <c r="VIJ1" s="68"/>
      <c r="VIK1" s="68"/>
      <c r="VIL1" s="68"/>
      <c r="VIM1" s="68"/>
      <c r="VIN1" s="68"/>
      <c r="VIO1" s="68"/>
      <c r="VIP1" s="68"/>
      <c r="VIQ1" s="68"/>
      <c r="VIR1" s="68"/>
      <c r="VIS1" s="68"/>
      <c r="VIT1" s="68"/>
      <c r="VIU1" s="68"/>
      <c r="VIV1" s="68"/>
      <c r="VIW1" s="68"/>
      <c r="VIX1" s="68"/>
      <c r="VIY1" s="68"/>
      <c r="VIZ1" s="68"/>
      <c r="VJA1" s="68"/>
      <c r="VJB1" s="68"/>
      <c r="VJC1" s="68"/>
      <c r="VJD1" s="68"/>
      <c r="VJE1" s="68"/>
      <c r="VJF1" s="68"/>
      <c r="VJG1" s="68"/>
      <c r="VJH1" s="68"/>
      <c r="VJI1" s="68"/>
      <c r="VJJ1" s="68"/>
      <c r="VJK1" s="68"/>
      <c r="VJL1" s="68"/>
      <c r="VJM1" s="68"/>
      <c r="VJN1" s="68"/>
      <c r="VJO1" s="68"/>
      <c r="VJP1" s="68"/>
      <c r="VJQ1" s="68"/>
      <c r="VJR1" s="68"/>
      <c r="VJS1" s="68"/>
      <c r="VJT1" s="68"/>
      <c r="VJU1" s="68"/>
      <c r="VJV1" s="68"/>
      <c r="VJW1" s="68"/>
      <c r="VJX1" s="68"/>
      <c r="VJY1" s="68"/>
      <c r="VJZ1" s="68"/>
      <c r="VKA1" s="68"/>
      <c r="VKB1" s="68"/>
      <c r="VKC1" s="68"/>
      <c r="VKD1" s="68"/>
      <c r="VKE1" s="68"/>
      <c r="VKF1" s="68"/>
      <c r="VKG1" s="68"/>
      <c r="VKH1" s="68"/>
      <c r="VKI1" s="68"/>
      <c r="VKJ1" s="68"/>
      <c r="VKK1" s="68"/>
      <c r="VKL1" s="68"/>
      <c r="VKM1" s="68"/>
      <c r="VKN1" s="68"/>
      <c r="VKO1" s="68"/>
      <c r="VKP1" s="68"/>
      <c r="VKQ1" s="68"/>
      <c r="VKR1" s="68"/>
      <c r="VKS1" s="68"/>
      <c r="VKT1" s="68"/>
      <c r="VKU1" s="68"/>
      <c r="VKV1" s="68"/>
      <c r="VKW1" s="68"/>
      <c r="VKX1" s="68"/>
      <c r="VKY1" s="68"/>
      <c r="VKZ1" s="68"/>
      <c r="VLA1" s="68"/>
      <c r="VLB1" s="68"/>
      <c r="VLC1" s="68"/>
      <c r="VLD1" s="68"/>
      <c r="VLE1" s="68"/>
      <c r="VLF1" s="68"/>
      <c r="VLG1" s="68"/>
      <c r="VLH1" s="68"/>
      <c r="VLI1" s="68"/>
      <c r="VLJ1" s="68"/>
      <c r="VLK1" s="68"/>
      <c r="VLL1" s="68"/>
      <c r="VLM1" s="68"/>
      <c r="VLN1" s="68"/>
      <c r="VLO1" s="68"/>
      <c r="VLP1" s="68"/>
      <c r="VLQ1" s="68"/>
      <c r="VLR1" s="68"/>
      <c r="VLS1" s="68"/>
      <c r="VLT1" s="68"/>
      <c r="VLU1" s="68"/>
      <c r="VLV1" s="68"/>
      <c r="VLW1" s="68"/>
      <c r="VLX1" s="68"/>
      <c r="VLY1" s="68"/>
      <c r="VLZ1" s="68"/>
      <c r="VMA1" s="68"/>
      <c r="VMB1" s="68"/>
      <c r="VMC1" s="68"/>
      <c r="VMD1" s="68"/>
      <c r="VME1" s="68"/>
      <c r="VMF1" s="68"/>
      <c r="VMG1" s="68"/>
      <c r="VMH1" s="68"/>
      <c r="VMI1" s="68"/>
      <c r="VMJ1" s="68"/>
      <c r="VMK1" s="68"/>
      <c r="VML1" s="68"/>
      <c r="VMM1" s="68"/>
      <c r="VMN1" s="68"/>
      <c r="VMO1" s="68"/>
      <c r="VMP1" s="68"/>
      <c r="VMQ1" s="68"/>
      <c r="VMR1" s="68"/>
      <c r="VMS1" s="68"/>
      <c r="VMT1" s="68"/>
      <c r="VMU1" s="68"/>
      <c r="VMV1" s="68"/>
      <c r="VMW1" s="68"/>
      <c r="VMX1" s="68"/>
      <c r="VMY1" s="68"/>
      <c r="VMZ1" s="68"/>
      <c r="VNA1" s="68"/>
      <c r="VNB1" s="68"/>
      <c r="VNC1" s="68"/>
      <c r="VND1" s="68"/>
      <c r="VNE1" s="68"/>
      <c r="VNF1" s="68"/>
      <c r="VNG1" s="68"/>
      <c r="VNH1" s="68"/>
      <c r="VNI1" s="68"/>
      <c r="VNJ1" s="68"/>
      <c r="VNK1" s="68"/>
      <c r="VNL1" s="68"/>
      <c r="VNM1" s="68"/>
      <c r="VNN1" s="68"/>
      <c r="VNO1" s="68"/>
      <c r="VNP1" s="68"/>
      <c r="VNQ1" s="68"/>
      <c r="VNR1" s="68"/>
      <c r="VNS1" s="68"/>
      <c r="VNT1" s="68"/>
      <c r="VNU1" s="68"/>
      <c r="VNV1" s="68"/>
      <c r="VNW1" s="68"/>
      <c r="VNX1" s="68"/>
      <c r="VNY1" s="68"/>
      <c r="VNZ1" s="68"/>
      <c r="VOA1" s="68"/>
      <c r="VOB1" s="68"/>
      <c r="VOC1" s="68"/>
      <c r="VOD1" s="68"/>
      <c r="VOE1" s="68"/>
      <c r="VOF1" s="68"/>
      <c r="VOG1" s="68"/>
      <c r="VOH1" s="68"/>
      <c r="VOI1" s="68"/>
      <c r="VOJ1" s="68"/>
      <c r="VOK1" s="68"/>
      <c r="VOL1" s="68"/>
      <c r="VOM1" s="68"/>
      <c r="VON1" s="68"/>
      <c r="VOO1" s="68"/>
      <c r="VOP1" s="68"/>
      <c r="VOQ1" s="68"/>
      <c r="VOR1" s="68"/>
      <c r="VOS1" s="68"/>
      <c r="VOT1" s="68"/>
      <c r="VOU1" s="68"/>
      <c r="VOV1" s="68"/>
      <c r="VOW1" s="68"/>
      <c r="VOX1" s="68"/>
      <c r="VOY1" s="68"/>
      <c r="VOZ1" s="68"/>
      <c r="VPA1" s="68"/>
      <c r="VPB1" s="68"/>
      <c r="VPC1" s="68"/>
      <c r="VPD1" s="68"/>
      <c r="VPE1" s="68"/>
      <c r="VPF1" s="68"/>
      <c r="VPG1" s="68"/>
      <c r="VPH1" s="68"/>
      <c r="VPI1" s="68"/>
      <c r="VPJ1" s="68"/>
      <c r="VPK1" s="68"/>
      <c r="VPL1" s="68"/>
      <c r="VPM1" s="68"/>
      <c r="VPN1" s="68"/>
      <c r="VPO1" s="68"/>
      <c r="VPP1" s="68"/>
      <c r="VPQ1" s="68"/>
      <c r="VPR1" s="68"/>
      <c r="VPS1" s="68"/>
      <c r="VPT1" s="68"/>
      <c r="VPU1" s="68"/>
      <c r="VPV1" s="68"/>
      <c r="VPW1" s="68"/>
      <c r="VPX1" s="68"/>
      <c r="VPY1" s="68"/>
      <c r="VPZ1" s="68"/>
      <c r="VQA1" s="68"/>
      <c r="VQB1" s="68"/>
      <c r="VQC1" s="68"/>
      <c r="VQD1" s="68"/>
      <c r="VQE1" s="68"/>
      <c r="VQF1" s="68"/>
      <c r="VQG1" s="68"/>
      <c r="VQH1" s="68"/>
      <c r="VQI1" s="68"/>
      <c r="VQJ1" s="68"/>
      <c r="VQK1" s="68"/>
      <c r="VQL1" s="68"/>
      <c r="VQM1" s="68"/>
      <c r="VQN1" s="68"/>
      <c r="VQO1" s="68"/>
      <c r="VQP1" s="68"/>
      <c r="VQQ1" s="68"/>
      <c r="VQR1" s="68"/>
      <c r="VQS1" s="68"/>
      <c r="VQT1" s="68"/>
      <c r="VQU1" s="68"/>
      <c r="VQV1" s="68"/>
      <c r="VQW1" s="68"/>
      <c r="VQX1" s="68"/>
      <c r="VQY1" s="68"/>
      <c r="VQZ1" s="68"/>
      <c r="VRA1" s="68"/>
      <c r="VRB1" s="68"/>
      <c r="VRC1" s="68"/>
      <c r="VRD1" s="68"/>
      <c r="VRE1" s="68"/>
      <c r="VRF1" s="68"/>
      <c r="VRG1" s="68"/>
      <c r="VRH1" s="68"/>
      <c r="VRI1" s="68"/>
      <c r="VRJ1" s="68"/>
      <c r="VRK1" s="68"/>
      <c r="VRL1" s="68"/>
      <c r="VRM1" s="68"/>
      <c r="VRN1" s="68"/>
      <c r="VRO1" s="68"/>
      <c r="VRP1" s="68"/>
      <c r="VRQ1" s="68"/>
      <c r="VRR1" s="68"/>
      <c r="VRS1" s="68"/>
      <c r="VRT1" s="68"/>
      <c r="VRU1" s="68"/>
      <c r="VRV1" s="68"/>
      <c r="VRW1" s="68"/>
      <c r="VRX1" s="68"/>
      <c r="VRY1" s="68"/>
      <c r="VRZ1" s="68"/>
      <c r="VSA1" s="68"/>
      <c r="VSB1" s="68"/>
      <c r="VSC1" s="68"/>
      <c r="VSD1" s="68"/>
      <c r="VSE1" s="68"/>
      <c r="VSF1" s="68"/>
      <c r="VSG1" s="68"/>
      <c r="VSH1" s="68"/>
      <c r="VSI1" s="68"/>
      <c r="VSJ1" s="68"/>
      <c r="VSK1" s="68"/>
      <c r="VSL1" s="68"/>
      <c r="VSM1" s="68"/>
      <c r="VSN1" s="68"/>
      <c r="VSO1" s="68"/>
      <c r="VSP1" s="68"/>
      <c r="VSQ1" s="68"/>
      <c r="VSR1" s="68"/>
      <c r="VSS1" s="68"/>
      <c r="VST1" s="68"/>
      <c r="VSU1" s="68"/>
      <c r="VSV1" s="68"/>
      <c r="VSW1" s="68"/>
      <c r="VSX1" s="68"/>
      <c r="VSY1" s="68"/>
      <c r="VSZ1" s="68"/>
      <c r="VTA1" s="68"/>
      <c r="VTB1" s="68"/>
      <c r="VTC1" s="68"/>
      <c r="VTD1" s="68"/>
      <c r="VTE1" s="68"/>
      <c r="VTF1" s="68"/>
      <c r="VTG1" s="68"/>
      <c r="VTH1" s="68"/>
      <c r="VTI1" s="68"/>
      <c r="VTJ1" s="68"/>
      <c r="VTK1" s="68"/>
      <c r="VTL1" s="68"/>
      <c r="VTM1" s="68"/>
      <c r="VTN1" s="68"/>
      <c r="VTO1" s="68"/>
      <c r="VTP1" s="68"/>
      <c r="VTQ1" s="68"/>
      <c r="VTR1" s="68"/>
      <c r="VTS1" s="68"/>
      <c r="VTT1" s="68"/>
      <c r="VTU1" s="68"/>
      <c r="VTV1" s="68"/>
      <c r="VTW1" s="68"/>
      <c r="VTX1" s="68"/>
      <c r="VTY1" s="68"/>
      <c r="VTZ1" s="68"/>
      <c r="VUA1" s="68"/>
      <c r="VUB1" s="68"/>
      <c r="VUC1" s="68"/>
      <c r="VUD1" s="68"/>
      <c r="VUE1" s="68"/>
      <c r="VUF1" s="68"/>
      <c r="VUG1" s="68"/>
      <c r="VUH1" s="68"/>
      <c r="VUI1" s="68"/>
      <c r="VUJ1" s="68"/>
      <c r="VUK1" s="68"/>
      <c r="VUL1" s="68"/>
      <c r="VUM1" s="68"/>
      <c r="VUN1" s="68"/>
      <c r="VUO1" s="68"/>
      <c r="VUP1" s="68"/>
      <c r="VUQ1" s="68"/>
      <c r="VUR1" s="68"/>
      <c r="VUS1" s="68"/>
      <c r="VUT1" s="68"/>
      <c r="VUU1" s="68"/>
      <c r="VUV1" s="68"/>
      <c r="VUW1" s="68"/>
      <c r="VUX1" s="68"/>
      <c r="VUY1" s="68"/>
      <c r="VUZ1" s="68"/>
      <c r="VVA1" s="68"/>
      <c r="VVB1" s="68"/>
      <c r="VVC1" s="68"/>
      <c r="VVD1" s="68"/>
      <c r="VVE1" s="68"/>
      <c r="VVF1" s="68"/>
      <c r="VVG1" s="68"/>
      <c r="VVH1" s="68"/>
      <c r="VVI1" s="68"/>
      <c r="VVJ1" s="68"/>
      <c r="VVK1" s="68"/>
      <c r="VVL1" s="68"/>
      <c r="VVM1" s="68"/>
      <c r="VVN1" s="68"/>
      <c r="VVO1" s="68"/>
      <c r="VVP1" s="68"/>
      <c r="VVQ1" s="68"/>
      <c r="VVR1" s="68"/>
      <c r="VVS1" s="68"/>
      <c r="VVT1" s="68"/>
      <c r="VVU1" s="68"/>
      <c r="VVV1" s="68"/>
      <c r="VVW1" s="68"/>
      <c r="VVX1" s="68"/>
      <c r="VVY1" s="68"/>
      <c r="VVZ1" s="68"/>
      <c r="VWA1" s="68"/>
      <c r="VWB1" s="68"/>
      <c r="VWC1" s="68"/>
      <c r="VWD1" s="68"/>
      <c r="VWE1" s="68"/>
      <c r="VWF1" s="68"/>
      <c r="VWG1" s="68"/>
      <c r="VWH1" s="68"/>
      <c r="VWI1" s="68"/>
      <c r="VWJ1" s="68"/>
      <c r="VWK1" s="68"/>
      <c r="VWL1" s="68"/>
      <c r="VWM1" s="68"/>
      <c r="VWN1" s="68"/>
      <c r="VWO1" s="68"/>
      <c r="VWP1" s="68"/>
      <c r="VWQ1" s="68"/>
      <c r="VWR1" s="68"/>
      <c r="VWS1" s="68"/>
      <c r="VWT1" s="68"/>
      <c r="VWU1" s="68"/>
      <c r="VWV1" s="68"/>
      <c r="VWW1" s="68"/>
      <c r="VWX1" s="68"/>
      <c r="VWY1" s="68"/>
      <c r="VWZ1" s="68"/>
      <c r="VXA1" s="68"/>
      <c r="VXB1" s="68"/>
      <c r="VXC1" s="68"/>
      <c r="VXD1" s="68"/>
      <c r="VXE1" s="68"/>
      <c r="VXF1" s="68"/>
      <c r="VXG1" s="68"/>
      <c r="VXH1" s="68"/>
      <c r="VXI1" s="68"/>
      <c r="VXJ1" s="68"/>
      <c r="VXK1" s="68"/>
      <c r="VXL1" s="68"/>
      <c r="VXM1" s="68"/>
      <c r="VXN1" s="68"/>
      <c r="VXO1" s="68"/>
      <c r="VXP1" s="68"/>
      <c r="VXQ1" s="68"/>
      <c r="VXR1" s="68"/>
      <c r="VXS1" s="68"/>
      <c r="VXT1" s="68"/>
      <c r="VXU1" s="68"/>
      <c r="VXV1" s="68"/>
      <c r="VXW1" s="68"/>
      <c r="VXX1" s="68"/>
      <c r="VXY1" s="68"/>
      <c r="VXZ1" s="68"/>
      <c r="VYA1" s="68"/>
      <c r="VYB1" s="68"/>
      <c r="VYC1" s="68"/>
      <c r="VYD1" s="68"/>
      <c r="VYE1" s="68"/>
      <c r="VYF1" s="68"/>
      <c r="VYG1" s="68"/>
      <c r="VYH1" s="68"/>
      <c r="VYI1" s="68"/>
      <c r="VYJ1" s="68"/>
      <c r="VYK1" s="68"/>
      <c r="VYL1" s="68"/>
      <c r="VYM1" s="68"/>
      <c r="VYN1" s="68"/>
      <c r="VYO1" s="68"/>
      <c r="VYP1" s="68"/>
      <c r="VYQ1" s="68"/>
      <c r="VYR1" s="68"/>
      <c r="VYS1" s="68"/>
      <c r="VYT1" s="68"/>
      <c r="VYU1" s="68"/>
      <c r="VYV1" s="68"/>
      <c r="VYW1" s="68"/>
      <c r="VYX1" s="68"/>
      <c r="VYY1" s="68"/>
      <c r="VYZ1" s="68"/>
      <c r="VZA1" s="68"/>
      <c r="VZB1" s="68"/>
      <c r="VZC1" s="68"/>
      <c r="VZD1" s="68"/>
      <c r="VZE1" s="68"/>
      <c r="VZF1" s="68"/>
      <c r="VZG1" s="68"/>
      <c r="VZH1" s="68"/>
      <c r="VZI1" s="68"/>
      <c r="VZJ1" s="68"/>
      <c r="VZK1" s="68"/>
      <c r="VZL1" s="68"/>
      <c r="VZM1" s="68"/>
      <c r="VZN1" s="68"/>
      <c r="VZO1" s="68"/>
      <c r="VZP1" s="68"/>
      <c r="VZQ1" s="68"/>
      <c r="VZR1" s="68"/>
      <c r="VZS1" s="68"/>
      <c r="VZT1" s="68"/>
      <c r="VZU1" s="68"/>
      <c r="VZV1" s="68"/>
      <c r="VZW1" s="68"/>
      <c r="VZX1" s="68"/>
      <c r="VZY1" s="68"/>
      <c r="VZZ1" s="68"/>
      <c r="WAA1" s="68"/>
      <c r="WAB1" s="68"/>
      <c r="WAC1" s="68"/>
      <c r="WAD1" s="68"/>
      <c r="WAE1" s="68"/>
      <c r="WAF1" s="68"/>
      <c r="WAG1" s="68"/>
      <c r="WAH1" s="68"/>
      <c r="WAI1" s="68"/>
      <c r="WAJ1" s="68"/>
      <c r="WAK1" s="68"/>
      <c r="WAL1" s="68"/>
      <c r="WAM1" s="68"/>
      <c r="WAN1" s="68"/>
      <c r="WAO1" s="68"/>
      <c r="WAP1" s="68"/>
      <c r="WAQ1" s="68"/>
      <c r="WAR1" s="68"/>
      <c r="WAS1" s="68"/>
      <c r="WAT1" s="68"/>
      <c r="WAU1" s="68"/>
      <c r="WAV1" s="68"/>
      <c r="WAW1" s="68"/>
      <c r="WAX1" s="68"/>
      <c r="WAY1" s="68"/>
      <c r="WAZ1" s="68"/>
      <c r="WBA1" s="68"/>
      <c r="WBB1" s="68"/>
      <c r="WBC1" s="68"/>
      <c r="WBD1" s="68"/>
      <c r="WBE1" s="68"/>
      <c r="WBF1" s="68"/>
      <c r="WBG1" s="68"/>
      <c r="WBH1" s="68"/>
      <c r="WBI1" s="68"/>
      <c r="WBJ1" s="68"/>
      <c r="WBK1" s="68"/>
      <c r="WBL1" s="68"/>
      <c r="WBM1" s="68"/>
      <c r="WBN1" s="68"/>
      <c r="WBO1" s="68"/>
      <c r="WBP1" s="68"/>
      <c r="WBQ1" s="68"/>
      <c r="WBR1" s="68"/>
      <c r="WBS1" s="68"/>
      <c r="WBT1" s="68"/>
      <c r="WBU1" s="68"/>
      <c r="WBV1" s="68"/>
      <c r="WBW1" s="68"/>
      <c r="WBX1" s="68"/>
      <c r="WBY1" s="68"/>
      <c r="WBZ1" s="68"/>
      <c r="WCA1" s="68"/>
      <c r="WCB1" s="68"/>
      <c r="WCC1" s="68"/>
      <c r="WCD1" s="68"/>
      <c r="WCE1" s="68"/>
      <c r="WCF1" s="68"/>
      <c r="WCG1" s="68"/>
      <c r="WCH1" s="68"/>
      <c r="WCI1" s="68"/>
      <c r="WCJ1" s="68"/>
      <c r="WCK1" s="68"/>
      <c r="WCL1" s="68"/>
      <c r="WCM1" s="68"/>
      <c r="WCN1" s="68"/>
      <c r="WCO1" s="68"/>
      <c r="WCP1" s="68"/>
      <c r="WCQ1" s="68"/>
      <c r="WCR1" s="68"/>
      <c r="WCS1" s="68"/>
      <c r="WCT1" s="68"/>
      <c r="WCU1" s="68"/>
      <c r="WCV1" s="68"/>
      <c r="WCW1" s="68"/>
      <c r="WCX1" s="68"/>
      <c r="WCY1" s="68"/>
      <c r="WCZ1" s="68"/>
      <c r="WDA1" s="68"/>
      <c r="WDB1" s="68"/>
      <c r="WDC1" s="68"/>
      <c r="WDD1" s="68"/>
      <c r="WDE1" s="68"/>
      <c r="WDF1" s="68"/>
      <c r="WDG1" s="68"/>
      <c r="WDH1" s="68"/>
      <c r="WDI1" s="68"/>
      <c r="WDJ1" s="68"/>
      <c r="WDK1" s="68"/>
      <c r="WDL1" s="68"/>
      <c r="WDM1" s="68"/>
      <c r="WDN1" s="68"/>
      <c r="WDO1" s="68"/>
      <c r="WDP1" s="68"/>
      <c r="WDQ1" s="68"/>
      <c r="WDR1" s="68"/>
      <c r="WDS1" s="68"/>
      <c r="WDT1" s="68"/>
      <c r="WDU1" s="68"/>
      <c r="WDV1" s="68"/>
      <c r="WDW1" s="68"/>
      <c r="WDX1" s="68"/>
      <c r="WDY1" s="68"/>
      <c r="WDZ1" s="68"/>
      <c r="WEA1" s="68"/>
      <c r="WEB1" s="68"/>
      <c r="WEC1" s="68"/>
      <c r="WED1" s="68"/>
      <c r="WEE1" s="68"/>
      <c r="WEF1" s="68"/>
      <c r="WEG1" s="68"/>
      <c r="WEH1" s="68"/>
      <c r="WEI1" s="68"/>
      <c r="WEJ1" s="68"/>
      <c r="WEK1" s="68"/>
      <c r="WEL1" s="68"/>
      <c r="WEM1" s="68"/>
      <c r="WEN1" s="68"/>
      <c r="WEO1" s="68"/>
      <c r="WEP1" s="68"/>
      <c r="WEQ1" s="68"/>
      <c r="WER1" s="68"/>
      <c r="WES1" s="68"/>
      <c r="WET1" s="68"/>
      <c r="WEU1" s="68"/>
      <c r="WEV1" s="68"/>
      <c r="WEW1" s="68"/>
      <c r="WEX1" s="68"/>
      <c r="WEY1" s="68"/>
      <c r="WEZ1" s="68"/>
      <c r="WFA1" s="68"/>
      <c r="WFB1" s="68"/>
      <c r="WFC1" s="68"/>
      <c r="WFD1" s="68"/>
      <c r="WFE1" s="68"/>
      <c r="WFF1" s="68"/>
      <c r="WFG1" s="68"/>
      <c r="WFH1" s="68"/>
      <c r="WFI1" s="68"/>
      <c r="WFJ1" s="68"/>
      <c r="WFK1" s="68"/>
      <c r="WFL1" s="68"/>
      <c r="WFM1" s="68"/>
      <c r="WFN1" s="68"/>
      <c r="WFO1" s="68"/>
      <c r="WFP1" s="68"/>
      <c r="WFQ1" s="68"/>
      <c r="WFR1" s="68"/>
      <c r="WFS1" s="68"/>
      <c r="WFT1" s="68"/>
      <c r="WFU1" s="68"/>
      <c r="WFV1" s="68"/>
      <c r="WFW1" s="68"/>
      <c r="WFX1" s="68"/>
      <c r="WFY1" s="68"/>
      <c r="WFZ1" s="68"/>
      <c r="WGA1" s="68"/>
      <c r="WGB1" s="68"/>
      <c r="WGC1" s="68"/>
      <c r="WGD1" s="68"/>
      <c r="WGE1" s="68"/>
      <c r="WGF1" s="68"/>
      <c r="WGG1" s="68"/>
      <c r="WGH1" s="68"/>
      <c r="WGI1" s="68"/>
      <c r="WGJ1" s="68"/>
      <c r="WGK1" s="68"/>
      <c r="WGL1" s="68"/>
      <c r="WGM1" s="68"/>
      <c r="WGN1" s="68"/>
      <c r="WGO1" s="68"/>
      <c r="WGP1" s="68"/>
      <c r="WGQ1" s="68"/>
      <c r="WGR1" s="68"/>
      <c r="WGS1" s="68"/>
      <c r="WGT1" s="68"/>
      <c r="WGU1" s="68"/>
      <c r="WGV1" s="68"/>
      <c r="WGW1" s="68"/>
      <c r="WGX1" s="68"/>
      <c r="WGY1" s="68"/>
      <c r="WGZ1" s="68"/>
      <c r="WHA1" s="68"/>
      <c r="WHB1" s="68"/>
      <c r="WHC1" s="68"/>
      <c r="WHD1" s="68"/>
      <c r="WHE1" s="68"/>
      <c r="WHF1" s="68"/>
      <c r="WHG1" s="68"/>
      <c r="WHH1" s="68"/>
      <c r="WHI1" s="68"/>
      <c r="WHJ1" s="68"/>
      <c r="WHK1" s="68"/>
      <c r="WHL1" s="68"/>
      <c r="WHM1" s="68"/>
      <c r="WHN1" s="68"/>
      <c r="WHO1" s="68"/>
      <c r="WHP1" s="68"/>
      <c r="WHQ1" s="68"/>
      <c r="WHR1" s="68"/>
      <c r="WHS1" s="68"/>
      <c r="WHT1" s="68"/>
      <c r="WHU1" s="68"/>
      <c r="WHV1" s="68"/>
      <c r="WHW1" s="68"/>
      <c r="WHX1" s="68"/>
      <c r="WHY1" s="68"/>
      <c r="WHZ1" s="68"/>
      <c r="WIA1" s="68"/>
      <c r="WIB1" s="68"/>
      <c r="WIC1" s="68"/>
      <c r="WID1" s="68"/>
      <c r="WIE1" s="68"/>
      <c r="WIF1" s="68"/>
      <c r="WIG1" s="68"/>
      <c r="WIH1" s="68"/>
      <c r="WII1" s="68"/>
      <c r="WIJ1" s="68"/>
      <c r="WIK1" s="68"/>
      <c r="WIL1" s="68"/>
      <c r="WIM1" s="68"/>
      <c r="WIN1" s="68"/>
      <c r="WIO1" s="68"/>
      <c r="WIP1" s="68"/>
      <c r="WIQ1" s="68"/>
      <c r="WIR1" s="68"/>
      <c r="WIS1" s="68"/>
      <c r="WIT1" s="68"/>
      <c r="WIU1" s="68"/>
      <c r="WIV1" s="68"/>
      <c r="WIW1" s="68"/>
      <c r="WIX1" s="68"/>
      <c r="WIY1" s="68"/>
      <c r="WIZ1" s="68"/>
      <c r="WJA1" s="68"/>
      <c r="WJB1" s="68"/>
      <c r="WJC1" s="68"/>
      <c r="WJD1" s="68"/>
      <c r="WJE1" s="68"/>
      <c r="WJF1" s="68"/>
      <c r="WJG1" s="68"/>
      <c r="WJH1" s="68"/>
      <c r="WJI1" s="68"/>
      <c r="WJJ1" s="68"/>
      <c r="WJK1" s="68"/>
      <c r="WJL1" s="68"/>
      <c r="WJM1" s="68"/>
      <c r="WJN1" s="68"/>
      <c r="WJO1" s="68"/>
      <c r="WJP1" s="68"/>
      <c r="WJQ1" s="68"/>
      <c r="WJR1" s="68"/>
      <c r="WJS1" s="68"/>
      <c r="WJT1" s="68"/>
      <c r="WJU1" s="68"/>
      <c r="WJV1" s="68"/>
      <c r="WJW1" s="68"/>
      <c r="WJX1" s="68"/>
      <c r="WJY1" s="68"/>
      <c r="WJZ1" s="68"/>
      <c r="WKA1" s="68"/>
      <c r="WKB1" s="68"/>
      <c r="WKC1" s="68"/>
      <c r="WKD1" s="68"/>
      <c r="WKE1" s="68"/>
      <c r="WKF1" s="68"/>
      <c r="WKG1" s="68"/>
      <c r="WKH1" s="68"/>
      <c r="WKI1" s="68"/>
      <c r="WKJ1" s="68"/>
      <c r="WKK1" s="68"/>
      <c r="WKL1" s="68"/>
      <c r="WKM1" s="68"/>
      <c r="WKN1" s="68"/>
      <c r="WKO1" s="68"/>
      <c r="WKP1" s="68"/>
      <c r="WKQ1" s="68"/>
      <c r="WKR1" s="68"/>
      <c r="WKS1" s="68"/>
      <c r="WKT1" s="68"/>
      <c r="WKU1" s="68"/>
      <c r="WKV1" s="68"/>
      <c r="WKW1" s="68"/>
      <c r="WKX1" s="68"/>
      <c r="WKY1" s="68"/>
      <c r="WKZ1" s="68"/>
      <c r="WLA1" s="68"/>
      <c r="WLB1" s="68"/>
      <c r="WLC1" s="68"/>
      <c r="WLD1" s="68"/>
      <c r="WLE1" s="68"/>
      <c r="WLF1" s="68"/>
      <c r="WLG1" s="68"/>
      <c r="WLH1" s="68"/>
      <c r="WLI1" s="68"/>
      <c r="WLJ1" s="68"/>
      <c r="WLK1" s="68"/>
      <c r="WLL1" s="68"/>
      <c r="WLM1" s="68"/>
      <c r="WLN1" s="68"/>
      <c r="WLO1" s="68"/>
      <c r="WLP1" s="68"/>
      <c r="WLQ1" s="68"/>
      <c r="WLR1" s="68"/>
      <c r="WLS1" s="68"/>
      <c r="WLT1" s="68"/>
      <c r="WLU1" s="68"/>
      <c r="WLV1" s="68"/>
      <c r="WLW1" s="68"/>
      <c r="WLX1" s="68"/>
      <c r="WLY1" s="68"/>
      <c r="WLZ1" s="68"/>
      <c r="WMA1" s="68"/>
      <c r="WMB1" s="68"/>
      <c r="WMC1" s="68"/>
      <c r="WMD1" s="68"/>
      <c r="WME1" s="68"/>
      <c r="WMF1" s="68"/>
      <c r="WMG1" s="68"/>
      <c r="WMH1" s="68"/>
      <c r="WMI1" s="68"/>
      <c r="WMJ1" s="68"/>
      <c r="WMK1" s="68"/>
      <c r="WML1" s="68"/>
      <c r="WMM1" s="68"/>
      <c r="WMN1" s="68"/>
      <c r="WMO1" s="68"/>
      <c r="WMP1" s="68"/>
      <c r="WMQ1" s="68"/>
      <c r="WMR1" s="68"/>
      <c r="WMS1" s="68"/>
      <c r="WMT1" s="68"/>
      <c r="WMU1" s="68"/>
      <c r="WMV1" s="68"/>
      <c r="WMW1" s="68"/>
      <c r="WMX1" s="68"/>
      <c r="WMY1" s="68"/>
      <c r="WMZ1" s="68"/>
      <c r="WNA1" s="68"/>
      <c r="WNB1" s="68"/>
      <c r="WNC1" s="68"/>
      <c r="WND1" s="68"/>
      <c r="WNE1" s="68"/>
      <c r="WNF1" s="68"/>
      <c r="WNG1" s="68"/>
      <c r="WNH1" s="68"/>
      <c r="WNI1" s="68"/>
      <c r="WNJ1" s="68"/>
      <c r="WNK1" s="68"/>
      <c r="WNL1" s="68"/>
      <c r="WNM1" s="68"/>
      <c r="WNN1" s="68"/>
      <c r="WNO1" s="68"/>
      <c r="WNP1" s="68"/>
      <c r="WNQ1" s="68"/>
      <c r="WNR1" s="68"/>
      <c r="WNS1" s="68"/>
      <c r="WNT1" s="68"/>
      <c r="WNU1" s="68"/>
      <c r="WNV1" s="68"/>
      <c r="WNW1" s="68"/>
      <c r="WNX1" s="68"/>
      <c r="WNY1" s="68"/>
      <c r="WNZ1" s="68"/>
      <c r="WOA1" s="68"/>
      <c r="WOB1" s="68"/>
      <c r="WOC1" s="68"/>
      <c r="WOD1" s="68"/>
      <c r="WOE1" s="68"/>
      <c r="WOF1" s="68"/>
      <c r="WOG1" s="68"/>
      <c r="WOH1" s="68"/>
      <c r="WOI1" s="68"/>
      <c r="WOJ1" s="68"/>
      <c r="WOK1" s="68"/>
      <c r="WOL1" s="68"/>
      <c r="WOM1" s="68"/>
      <c r="WON1" s="68"/>
      <c r="WOO1" s="68"/>
      <c r="WOP1" s="68"/>
      <c r="WOQ1" s="68"/>
      <c r="WOR1" s="68"/>
      <c r="WOS1" s="68"/>
      <c r="WOT1" s="68"/>
      <c r="WOU1" s="68"/>
      <c r="WOV1" s="68"/>
      <c r="WOW1" s="68"/>
      <c r="WOX1" s="68"/>
      <c r="WOY1" s="68"/>
      <c r="WOZ1" s="68"/>
      <c r="WPA1" s="68"/>
      <c r="WPB1" s="68"/>
      <c r="WPC1" s="68"/>
      <c r="WPD1" s="68"/>
      <c r="WPE1" s="68"/>
      <c r="WPF1" s="68"/>
      <c r="WPG1" s="68"/>
      <c r="WPH1" s="68"/>
      <c r="WPI1" s="68"/>
      <c r="WPJ1" s="68"/>
      <c r="WPK1" s="68"/>
      <c r="WPL1" s="68"/>
      <c r="WPM1" s="68"/>
      <c r="WPN1" s="68"/>
      <c r="WPO1" s="68"/>
      <c r="WPP1" s="68"/>
      <c r="WPQ1" s="68"/>
      <c r="WPR1" s="68"/>
      <c r="WPS1" s="68"/>
      <c r="WPT1" s="68"/>
      <c r="WPU1" s="68"/>
      <c r="WPV1" s="68"/>
      <c r="WPW1" s="68"/>
      <c r="WPX1" s="68"/>
      <c r="WPY1" s="68"/>
      <c r="WPZ1" s="68"/>
      <c r="WQA1" s="68"/>
      <c r="WQB1" s="68"/>
      <c r="WQC1" s="68"/>
      <c r="WQD1" s="68"/>
      <c r="WQE1" s="68"/>
      <c r="WQF1" s="68"/>
      <c r="WQG1" s="68"/>
      <c r="WQH1" s="68"/>
      <c r="WQI1" s="68"/>
      <c r="WQJ1" s="68"/>
      <c r="WQK1" s="68"/>
      <c r="WQL1" s="68"/>
      <c r="WQM1" s="68"/>
      <c r="WQN1" s="68"/>
      <c r="WQO1" s="68"/>
      <c r="WQP1" s="68"/>
      <c r="WQQ1" s="68"/>
      <c r="WQR1" s="68"/>
      <c r="WQS1" s="68"/>
      <c r="WQT1" s="68"/>
      <c r="WQU1" s="68"/>
      <c r="WQV1" s="68"/>
      <c r="WQW1" s="68"/>
      <c r="WQX1" s="68"/>
      <c r="WQY1" s="68"/>
      <c r="WQZ1" s="68"/>
      <c r="WRA1" s="68"/>
      <c r="WRB1" s="68"/>
      <c r="WRC1" s="68"/>
      <c r="WRD1" s="68"/>
      <c r="WRE1" s="68"/>
      <c r="WRF1" s="68"/>
      <c r="WRG1" s="68"/>
      <c r="WRH1" s="68"/>
      <c r="WRI1" s="68"/>
      <c r="WRJ1" s="68"/>
      <c r="WRK1" s="68"/>
      <c r="WRL1" s="68"/>
      <c r="WRM1" s="68"/>
      <c r="WRN1" s="68"/>
      <c r="WRO1" s="68"/>
      <c r="WRP1" s="68"/>
      <c r="WRQ1" s="68"/>
      <c r="WRR1" s="68"/>
      <c r="WRS1" s="68"/>
      <c r="WRT1" s="68"/>
      <c r="WRU1" s="68"/>
      <c r="WRV1" s="68"/>
      <c r="WRW1" s="68"/>
      <c r="WRX1" s="68"/>
      <c r="WRY1" s="68"/>
      <c r="WRZ1" s="68"/>
      <c r="WSA1" s="68"/>
      <c r="WSB1" s="68"/>
      <c r="WSC1" s="68"/>
      <c r="WSD1" s="68"/>
      <c r="WSE1" s="68"/>
      <c r="WSF1" s="68"/>
      <c r="WSG1" s="68"/>
      <c r="WSH1" s="68"/>
      <c r="WSI1" s="68"/>
      <c r="WSJ1" s="68"/>
      <c r="WSK1" s="68"/>
      <c r="WSL1" s="68"/>
      <c r="WSM1" s="68"/>
      <c r="WSN1" s="68"/>
      <c r="WSO1" s="68"/>
      <c r="WSP1" s="68"/>
      <c r="WSQ1" s="68"/>
      <c r="WSR1" s="68"/>
      <c r="WSS1" s="68"/>
      <c r="WST1" s="68"/>
      <c r="WSU1" s="68"/>
      <c r="WSV1" s="68"/>
      <c r="WSW1" s="68"/>
      <c r="WSX1" s="68"/>
      <c r="WSY1" s="68"/>
      <c r="WSZ1" s="68"/>
      <c r="WTA1" s="68"/>
      <c r="WTB1" s="68"/>
      <c r="WTC1" s="68"/>
      <c r="WTD1" s="68"/>
      <c r="WTE1" s="68"/>
      <c r="WTF1" s="68"/>
      <c r="WTG1" s="68"/>
      <c r="WTH1" s="68"/>
      <c r="WTI1" s="68"/>
      <c r="WTJ1" s="68"/>
      <c r="WTK1" s="68"/>
      <c r="WTL1" s="68"/>
      <c r="WTM1" s="68"/>
      <c r="WTN1" s="68"/>
      <c r="WTO1" s="68"/>
      <c r="WTP1" s="68"/>
      <c r="WTQ1" s="68"/>
      <c r="WTR1" s="68"/>
      <c r="WTS1" s="68"/>
      <c r="WTT1" s="68"/>
      <c r="WTU1" s="68"/>
      <c r="WTV1" s="68"/>
      <c r="WTW1" s="68"/>
      <c r="WTX1" s="68"/>
      <c r="WTY1" s="68"/>
      <c r="WTZ1" s="68"/>
      <c r="WUA1" s="68"/>
      <c r="WUB1" s="68"/>
      <c r="WUC1" s="68"/>
      <c r="WUD1" s="68"/>
      <c r="WUE1" s="68"/>
      <c r="WUF1" s="68"/>
      <c r="WUG1" s="68"/>
      <c r="WUH1" s="68"/>
      <c r="WUI1" s="68"/>
      <c r="WUJ1" s="68"/>
      <c r="WUK1" s="68"/>
      <c r="WUL1" s="68"/>
      <c r="WUM1" s="68"/>
      <c r="WUN1" s="68"/>
      <c r="WUO1" s="68"/>
      <c r="WUP1" s="68"/>
      <c r="WUQ1" s="68"/>
      <c r="WUR1" s="68"/>
      <c r="WUS1" s="68"/>
      <c r="WUT1" s="68"/>
      <c r="WUU1" s="68"/>
      <c r="WUV1" s="68"/>
      <c r="WUW1" s="68"/>
      <c r="WUX1" s="68"/>
      <c r="WUY1" s="68"/>
      <c r="WUZ1" s="68"/>
      <c r="WVA1" s="68"/>
      <c r="WVB1" s="68"/>
      <c r="WVC1" s="68"/>
      <c r="WVD1" s="68"/>
      <c r="WVE1" s="68"/>
      <c r="WVF1" s="68"/>
      <c r="WVG1" s="68"/>
      <c r="WVH1" s="68"/>
      <c r="WVI1" s="68"/>
      <c r="WVJ1" s="68"/>
      <c r="WVK1" s="68"/>
      <c r="WVL1" s="68"/>
      <c r="WVM1" s="68"/>
      <c r="WVN1" s="68"/>
      <c r="WVO1" s="68"/>
      <c r="WVP1" s="68"/>
      <c r="WVQ1" s="68"/>
      <c r="WVR1" s="68"/>
      <c r="WVS1" s="68"/>
      <c r="WVT1" s="68"/>
      <c r="WVU1" s="68"/>
      <c r="WVV1" s="68"/>
      <c r="WVW1" s="68"/>
      <c r="WVX1" s="68"/>
      <c r="WVY1" s="68"/>
      <c r="WVZ1" s="68"/>
      <c r="WWA1" s="68"/>
      <c r="WWB1" s="68"/>
      <c r="WWC1" s="68"/>
      <c r="WWD1" s="68"/>
      <c r="WWE1" s="68"/>
      <c r="WWF1" s="68"/>
      <c r="WWG1" s="68"/>
      <c r="WWH1" s="68"/>
      <c r="WWI1" s="68"/>
      <c r="WWJ1" s="68"/>
      <c r="WWK1" s="68"/>
      <c r="WWL1" s="68"/>
      <c r="WWM1" s="68"/>
      <c r="WWN1" s="68"/>
      <c r="WWO1" s="68"/>
      <c r="WWP1" s="68"/>
      <c r="WWQ1" s="68"/>
      <c r="WWR1" s="68"/>
      <c r="WWS1" s="68"/>
      <c r="WWT1" s="68"/>
      <c r="WWU1" s="68"/>
      <c r="WWV1" s="68"/>
      <c r="WWW1" s="68"/>
      <c r="WWX1" s="68"/>
      <c r="WWY1" s="68"/>
      <c r="WWZ1" s="68"/>
      <c r="WXA1" s="68"/>
      <c r="WXB1" s="68"/>
      <c r="WXC1" s="68"/>
      <c r="WXD1" s="68"/>
      <c r="WXE1" s="68"/>
      <c r="WXF1" s="68"/>
      <c r="WXG1" s="68"/>
      <c r="WXH1" s="68"/>
      <c r="WXI1" s="68"/>
      <c r="WXJ1" s="68"/>
      <c r="WXK1" s="68"/>
      <c r="WXL1" s="68"/>
      <c r="WXM1" s="68"/>
      <c r="WXN1" s="68"/>
      <c r="WXO1" s="68"/>
      <c r="WXP1" s="68"/>
      <c r="WXQ1" s="68"/>
      <c r="WXR1" s="68"/>
      <c r="WXS1" s="68"/>
      <c r="WXT1" s="68"/>
      <c r="WXU1" s="68"/>
      <c r="WXV1" s="68"/>
      <c r="WXW1" s="68"/>
      <c r="WXX1" s="68"/>
      <c r="WXY1" s="68"/>
      <c r="WXZ1" s="68"/>
      <c r="WYA1" s="68"/>
      <c r="WYB1" s="68"/>
      <c r="WYC1" s="68"/>
      <c r="WYD1" s="68"/>
      <c r="WYE1" s="68"/>
      <c r="WYF1" s="68"/>
      <c r="WYG1" s="68"/>
      <c r="WYH1" s="68"/>
      <c r="WYI1" s="68"/>
      <c r="WYJ1" s="68"/>
      <c r="WYK1" s="68"/>
      <c r="WYL1" s="68"/>
      <c r="WYM1" s="68"/>
      <c r="WYN1" s="68"/>
      <c r="WYO1" s="68"/>
      <c r="WYP1" s="68"/>
      <c r="WYQ1" s="68"/>
      <c r="WYR1" s="68"/>
      <c r="WYS1" s="68"/>
      <c r="WYT1" s="68"/>
      <c r="WYU1" s="68"/>
      <c r="WYV1" s="68"/>
      <c r="WYW1" s="68"/>
      <c r="WYX1" s="68"/>
      <c r="WYY1" s="68"/>
      <c r="WYZ1" s="68"/>
      <c r="WZA1" s="68"/>
      <c r="WZB1" s="68"/>
      <c r="WZC1" s="68"/>
      <c r="WZD1" s="68"/>
      <c r="WZE1" s="68"/>
      <c r="WZF1" s="68"/>
      <c r="WZG1" s="68"/>
      <c r="WZH1" s="68"/>
      <c r="WZI1" s="68"/>
      <c r="WZJ1" s="68"/>
      <c r="WZK1" s="68"/>
      <c r="WZL1" s="68"/>
      <c r="WZM1" s="68"/>
      <c r="WZN1" s="68"/>
      <c r="WZO1" s="68"/>
      <c r="WZP1" s="68"/>
      <c r="WZQ1" s="68"/>
      <c r="WZR1" s="68"/>
      <c r="WZS1" s="68"/>
      <c r="WZT1" s="68"/>
      <c r="WZU1" s="68"/>
      <c r="WZV1" s="68"/>
      <c r="WZW1" s="68"/>
      <c r="WZX1" s="68"/>
      <c r="WZY1" s="68"/>
      <c r="WZZ1" s="68"/>
      <c r="XAA1" s="68"/>
      <c r="XAB1" s="68"/>
      <c r="XAC1" s="68"/>
      <c r="XAD1" s="68"/>
      <c r="XAE1" s="68"/>
      <c r="XAF1" s="68"/>
      <c r="XAG1" s="68"/>
      <c r="XAH1" s="68"/>
      <c r="XAI1" s="68"/>
      <c r="XAJ1" s="68"/>
      <c r="XAK1" s="68"/>
      <c r="XAL1" s="68"/>
      <c r="XAM1" s="68"/>
      <c r="XAN1" s="68"/>
      <c r="XAO1" s="68"/>
      <c r="XAP1" s="68"/>
      <c r="XAQ1" s="68"/>
      <c r="XAR1" s="68"/>
      <c r="XAS1" s="68"/>
      <c r="XAT1" s="68"/>
      <c r="XAU1" s="68"/>
      <c r="XAV1" s="68"/>
      <c r="XAW1" s="68"/>
      <c r="XAX1" s="68"/>
      <c r="XAY1" s="68"/>
      <c r="XAZ1" s="68"/>
      <c r="XBA1" s="68"/>
      <c r="XBB1" s="68"/>
      <c r="XBC1" s="68"/>
      <c r="XBD1" s="68"/>
      <c r="XBE1" s="68"/>
      <c r="XBF1" s="68"/>
      <c r="XBG1" s="68"/>
      <c r="XBH1" s="68"/>
      <c r="XBI1" s="68"/>
      <c r="XBJ1" s="68"/>
      <c r="XBK1" s="68"/>
      <c r="XBL1" s="68"/>
      <c r="XBM1" s="68"/>
      <c r="XBN1" s="68"/>
      <c r="XBO1" s="68"/>
      <c r="XBP1" s="68"/>
      <c r="XBQ1" s="68"/>
      <c r="XBR1" s="68"/>
      <c r="XBS1" s="68"/>
      <c r="XBT1" s="68"/>
      <c r="XBU1" s="68"/>
      <c r="XBV1" s="68"/>
      <c r="XBW1" s="68"/>
      <c r="XBX1" s="68"/>
      <c r="XBY1" s="68"/>
      <c r="XBZ1" s="68"/>
      <c r="XCA1" s="68"/>
      <c r="XCB1" s="68"/>
      <c r="XCC1" s="68"/>
      <c r="XCD1" s="68"/>
      <c r="XCE1" s="68"/>
      <c r="XCF1" s="68"/>
      <c r="XCG1" s="68"/>
      <c r="XCH1" s="68"/>
      <c r="XCI1" s="68"/>
      <c r="XCJ1" s="68"/>
      <c r="XCK1" s="68"/>
      <c r="XCL1" s="68"/>
      <c r="XCM1" s="68"/>
      <c r="XCN1" s="68"/>
      <c r="XCO1" s="68"/>
      <c r="XCP1" s="68"/>
      <c r="XCQ1" s="68"/>
      <c r="XCR1" s="68"/>
      <c r="XCS1" s="68"/>
      <c r="XCT1" s="68"/>
      <c r="XCU1" s="68"/>
      <c r="XCV1" s="68"/>
      <c r="XCW1" s="68"/>
      <c r="XCX1" s="68"/>
      <c r="XCY1" s="68"/>
      <c r="XCZ1" s="68"/>
      <c r="XDA1" s="68"/>
      <c r="XDB1" s="68"/>
      <c r="XDC1" s="68"/>
      <c r="XDD1" s="68"/>
      <c r="XDE1" s="68"/>
      <c r="XDF1" s="68"/>
      <c r="XDG1" s="68"/>
      <c r="XDH1" s="68"/>
      <c r="XDI1" s="68"/>
      <c r="XDJ1" s="68"/>
      <c r="XDK1" s="68"/>
      <c r="XDL1" s="68"/>
      <c r="XDM1" s="68"/>
      <c r="XDN1" s="68"/>
      <c r="XDO1" s="68"/>
      <c r="XDP1" s="68"/>
      <c r="XDQ1" s="68"/>
      <c r="XDR1" s="68"/>
      <c r="XDS1" s="68"/>
      <c r="XDT1" s="68"/>
      <c r="XDU1" s="68"/>
      <c r="XDV1" s="68"/>
      <c r="XDW1" s="68"/>
      <c r="XDX1" s="68"/>
      <c r="XDY1" s="68"/>
    </row>
    <row r="2" spans="1:16353" x14ac:dyDescent="0.3">
      <c r="A2" s="69" t="s">
        <v>155</v>
      </c>
      <c r="B2" s="63">
        <v>584952.29</v>
      </c>
      <c r="C2" s="63">
        <v>6916423.8169999998</v>
      </c>
      <c r="D2" s="70">
        <v>50.8</v>
      </c>
      <c r="E2" s="70">
        <v>152.39999999999998</v>
      </c>
      <c r="F2" s="71">
        <v>1324.2660000000001</v>
      </c>
      <c r="G2" s="65">
        <v>10.515600000000001</v>
      </c>
      <c r="H2" s="65">
        <v>7.4676</v>
      </c>
      <c r="I2" s="65">
        <v>10.515600000000001</v>
      </c>
      <c r="J2" s="65" t="str">
        <f>ROUND(H2,2)&amp;" to "&amp;ROUND(I2,2)</f>
        <v>7.47 to 10.52</v>
      </c>
      <c r="K2" s="65">
        <f>F2+O2</f>
        <v>1324.2090000000001</v>
      </c>
      <c r="L2" s="65">
        <f t="shared" ref="L2:L12" si="0">F2+O2-H2</f>
        <v>1316.7414000000001</v>
      </c>
      <c r="M2" s="65">
        <f>F2+O2-I2</f>
        <v>1313.6934000000001</v>
      </c>
      <c r="N2" s="84">
        <f t="shared" ref="N2:N8" si="1">K2-L2</f>
        <v>7.4675999999999476</v>
      </c>
      <c r="O2" s="65">
        <v>-5.7000000000016371E-2</v>
      </c>
      <c r="P2" s="65">
        <v>2.95</v>
      </c>
      <c r="Q2" s="65">
        <v>3.05</v>
      </c>
      <c r="R2" s="72" t="s">
        <v>156</v>
      </c>
      <c r="S2" t="s">
        <v>157</v>
      </c>
    </row>
    <row r="3" spans="1:16353" x14ac:dyDescent="0.3">
      <c r="A3" s="69" t="s">
        <v>134</v>
      </c>
      <c r="B3" s="63">
        <v>584985.64300000004</v>
      </c>
      <c r="C3" s="63">
        <v>6916445.9579999996</v>
      </c>
      <c r="D3" s="70">
        <v>50.8</v>
      </c>
      <c r="E3" s="70">
        <v>152.4</v>
      </c>
      <c r="F3" s="71">
        <v>1322.16</v>
      </c>
      <c r="G3" s="65">
        <v>9.1440000000000001</v>
      </c>
      <c r="H3" s="65">
        <v>6.0960000000000001</v>
      </c>
      <c r="I3" s="65">
        <v>9.1440000000000001</v>
      </c>
      <c r="J3" s="65" t="str">
        <f t="shared" ref="J3:J10" si="2">ROUND(H3,2)&amp;" to "&amp;ROUND(I3,2)</f>
        <v>6.1 to 9.14</v>
      </c>
      <c r="K3" s="65">
        <f t="shared" ref="K3:K10" si="3">F3+O3</f>
        <v>1322.152</v>
      </c>
      <c r="L3" s="65">
        <f t="shared" si="0"/>
        <v>1316.056</v>
      </c>
      <c r="M3" s="65">
        <f t="shared" ref="M3:M12" si="4">F3+O3-I3</f>
        <v>1313.008</v>
      </c>
      <c r="N3" s="84">
        <f t="shared" si="1"/>
        <v>6.0960000000000036</v>
      </c>
      <c r="O3" s="65">
        <v>-8.0000000000381988E-3</v>
      </c>
      <c r="P3" s="65">
        <v>4.5</v>
      </c>
      <c r="Q3" s="65">
        <v>15.1</v>
      </c>
      <c r="R3" s="72" t="s">
        <v>158</v>
      </c>
      <c r="S3" t="s">
        <v>157</v>
      </c>
    </row>
    <row r="4" spans="1:16353" x14ac:dyDescent="0.3">
      <c r="A4" t="s">
        <v>127</v>
      </c>
      <c r="B4" s="63">
        <v>584986.728</v>
      </c>
      <c r="C4" s="63">
        <v>6916408.3839999996</v>
      </c>
      <c r="D4" s="73">
        <v>101.6</v>
      </c>
      <c r="E4" s="73">
        <v>203.2</v>
      </c>
      <c r="F4" s="71">
        <v>1314.9779999999998</v>
      </c>
      <c r="G4" s="63">
        <v>5.4864000000000006</v>
      </c>
      <c r="H4" s="63">
        <v>2.4384000000000001</v>
      </c>
      <c r="I4" s="63">
        <v>5.4864000000000006</v>
      </c>
      <c r="J4" s="65" t="str">
        <f>ROUND(H4,2)&amp;" to "&amp;ROUND(I4,2)</f>
        <v>2.44 to 5.49</v>
      </c>
      <c r="K4" s="65">
        <f t="shared" si="3"/>
        <v>1315.7449999999999</v>
      </c>
      <c r="L4" s="65">
        <f>F4+O4-H4</f>
        <v>1313.3065999999999</v>
      </c>
      <c r="M4" s="65">
        <f>F4+O4-I4</f>
        <v>1310.2585999999999</v>
      </c>
      <c r="N4" s="84">
        <f>K4-L4</f>
        <v>2.4384000000000015</v>
      </c>
      <c r="O4" s="63">
        <v>0.76700000000005275</v>
      </c>
      <c r="P4" s="63">
        <v>4.0999999999999996</v>
      </c>
      <c r="Q4" s="63">
        <v>4</v>
      </c>
      <c r="R4" t="s">
        <v>163</v>
      </c>
      <c r="S4" t="s">
        <v>165</v>
      </c>
    </row>
    <row r="5" spans="1:16353" x14ac:dyDescent="0.3">
      <c r="A5" t="s">
        <v>139</v>
      </c>
      <c r="B5" s="63">
        <v>585099.32900000003</v>
      </c>
      <c r="C5" s="63">
        <v>6916111.1770000001</v>
      </c>
      <c r="D5" s="73">
        <v>50</v>
      </c>
      <c r="E5" s="73">
        <v>152</v>
      </c>
      <c r="F5" s="71">
        <v>1298.722</v>
      </c>
      <c r="G5" s="63">
        <v>13.716000000000001</v>
      </c>
      <c r="H5" s="63">
        <v>10.668000000000001</v>
      </c>
      <c r="I5" s="63">
        <v>13.715999999999999</v>
      </c>
      <c r="J5" s="65" t="str">
        <f t="shared" si="2"/>
        <v>10.67 to 13.72</v>
      </c>
      <c r="K5" s="65">
        <f t="shared" si="3"/>
        <v>1298.3820000000001</v>
      </c>
      <c r="L5" s="65">
        <f t="shared" si="0"/>
        <v>1287.7140000000002</v>
      </c>
      <c r="M5" s="65">
        <f t="shared" si="4"/>
        <v>1284.6660000000002</v>
      </c>
      <c r="N5" s="84">
        <f t="shared" si="1"/>
        <v>10.667999999999893</v>
      </c>
      <c r="O5" s="63">
        <v>-0.33999999999991815</v>
      </c>
      <c r="P5" s="63">
        <v>12.7</v>
      </c>
      <c r="Q5" s="63" t="s">
        <v>174</v>
      </c>
      <c r="R5" t="s">
        <v>159</v>
      </c>
      <c r="S5" t="s">
        <v>160</v>
      </c>
    </row>
    <row r="6" spans="1:16353" x14ac:dyDescent="0.3">
      <c r="A6" t="s">
        <v>138</v>
      </c>
      <c r="B6" s="63">
        <v>585087.63399999996</v>
      </c>
      <c r="C6" s="63">
        <v>6916082.983</v>
      </c>
      <c r="D6" s="73">
        <v>50</v>
      </c>
      <c r="E6" s="73">
        <v>152</v>
      </c>
      <c r="F6" s="71">
        <v>1298.52</v>
      </c>
      <c r="G6" s="63">
        <v>14.9352</v>
      </c>
      <c r="H6" s="63">
        <v>8.8391999999999999</v>
      </c>
      <c r="I6" s="63">
        <v>14.9352</v>
      </c>
      <c r="J6" s="65" t="str">
        <f t="shared" si="2"/>
        <v>8.84 to 14.94</v>
      </c>
      <c r="K6" s="65">
        <f t="shared" si="3"/>
        <v>1298.42</v>
      </c>
      <c r="L6" s="65">
        <f t="shared" si="0"/>
        <v>1289.5808000000002</v>
      </c>
      <c r="M6" s="65">
        <f t="shared" si="4"/>
        <v>1283.4848000000002</v>
      </c>
      <c r="N6" s="84">
        <f t="shared" si="1"/>
        <v>8.8391999999998916</v>
      </c>
      <c r="O6" s="63">
        <v>-9.9999999999909051E-2</v>
      </c>
      <c r="P6" s="63">
        <v>12.1</v>
      </c>
      <c r="Q6" s="63" t="s">
        <v>175</v>
      </c>
      <c r="R6" t="s">
        <v>161</v>
      </c>
      <c r="S6" t="s">
        <v>160</v>
      </c>
    </row>
    <row r="7" spans="1:16353" x14ac:dyDescent="0.3">
      <c r="A7" t="s">
        <v>136</v>
      </c>
      <c r="B7" s="63">
        <v>585078.80099999998</v>
      </c>
      <c r="C7" s="63">
        <v>6916111.6880000001</v>
      </c>
      <c r="D7" s="73">
        <v>100</v>
      </c>
      <c r="E7" s="73">
        <v>203.2</v>
      </c>
      <c r="F7" s="71">
        <v>1294.0650000000001</v>
      </c>
      <c r="G7" s="63">
        <v>10.363200000000001</v>
      </c>
      <c r="H7" s="63">
        <v>7.3152000000000008</v>
      </c>
      <c r="I7" s="63">
        <v>10.363200000000001</v>
      </c>
      <c r="J7" s="65" t="str">
        <f>ROUND(H7,2)&amp;" to "&amp;ROUND(I7,2)</f>
        <v>7.32 to 10.36</v>
      </c>
      <c r="K7" s="65">
        <f t="shared" si="3"/>
        <v>1294.6590000000001</v>
      </c>
      <c r="L7" s="65">
        <f>F7+O7-H7</f>
        <v>1287.3438000000001</v>
      </c>
      <c r="M7" s="65">
        <f>F7+O7-I7</f>
        <v>1284.2958000000001</v>
      </c>
      <c r="N7" s="84">
        <f t="shared" si="1"/>
        <v>7.3152000000000044</v>
      </c>
      <c r="O7" s="63">
        <v>0.59400000000005093</v>
      </c>
      <c r="P7" s="63">
        <v>4.8</v>
      </c>
      <c r="Q7" s="63" t="s">
        <v>178</v>
      </c>
      <c r="R7" t="s">
        <v>166</v>
      </c>
      <c r="S7" t="s">
        <v>165</v>
      </c>
    </row>
    <row r="8" spans="1:16353" x14ac:dyDescent="0.3">
      <c r="A8" t="s">
        <v>162</v>
      </c>
      <c r="B8" s="63">
        <v>585346.23899999994</v>
      </c>
      <c r="C8" s="63">
        <v>6916726.7819999997</v>
      </c>
      <c r="D8" s="73">
        <v>50</v>
      </c>
      <c r="E8" s="73">
        <v>152.4</v>
      </c>
      <c r="F8" s="71">
        <v>1311.8529999999998</v>
      </c>
      <c r="G8" s="63">
        <v>6.0960000000000001</v>
      </c>
      <c r="H8" s="63">
        <v>3.048</v>
      </c>
      <c r="I8" s="63">
        <v>6.0960000000000001</v>
      </c>
      <c r="J8" s="65" t="str">
        <f t="shared" si="2"/>
        <v>3.05 to 6.1</v>
      </c>
      <c r="K8" s="65">
        <f t="shared" si="3"/>
        <v>1311.6969999999999</v>
      </c>
      <c r="L8" s="84">
        <f t="shared" si="0"/>
        <v>1308.6489999999999</v>
      </c>
      <c r="M8" s="84">
        <f t="shared" si="4"/>
        <v>1305.6009999999999</v>
      </c>
      <c r="N8" s="84">
        <f t="shared" si="1"/>
        <v>3.0480000000000018</v>
      </c>
      <c r="O8" s="63">
        <v>-0.15599999999994907</v>
      </c>
      <c r="P8" s="63">
        <v>1.9</v>
      </c>
      <c r="Q8" s="63" t="s">
        <v>176</v>
      </c>
      <c r="R8" t="s">
        <v>163</v>
      </c>
      <c r="S8" t="s">
        <v>164</v>
      </c>
    </row>
    <row r="9" spans="1:16353" x14ac:dyDescent="0.3">
      <c r="A9" t="s">
        <v>142</v>
      </c>
      <c r="B9" s="63">
        <v>585316.98699999996</v>
      </c>
      <c r="C9" s="63">
        <v>6916726.6519999998</v>
      </c>
      <c r="D9" s="73">
        <v>101.6</v>
      </c>
      <c r="E9" s="73">
        <v>203.2</v>
      </c>
      <c r="F9" s="71">
        <v>1311.634</v>
      </c>
      <c r="G9" s="74">
        <v>5.9740800000000007</v>
      </c>
      <c r="H9" s="63">
        <v>2.9260800000000002</v>
      </c>
      <c r="I9" s="63">
        <v>5.9740800000000007</v>
      </c>
      <c r="J9" s="65" t="str">
        <f t="shared" si="2"/>
        <v>2.93 to 5.97</v>
      </c>
      <c r="K9" s="65">
        <f t="shared" si="3"/>
        <v>1312.3109999999999</v>
      </c>
      <c r="L9" s="84">
        <f t="shared" si="0"/>
        <v>1309.38492</v>
      </c>
      <c r="M9" s="84">
        <f t="shared" si="4"/>
        <v>1306.33692</v>
      </c>
      <c r="N9" s="84">
        <f>K9-L9</f>
        <v>2.9260799999999563</v>
      </c>
      <c r="O9" s="63">
        <v>0.67699999999990723</v>
      </c>
      <c r="P9" s="75">
        <v>1.3</v>
      </c>
      <c r="Q9" s="75" t="s">
        <v>177</v>
      </c>
      <c r="R9" t="s">
        <v>163</v>
      </c>
      <c r="S9" t="s">
        <v>165</v>
      </c>
    </row>
    <row r="10" spans="1:16353" x14ac:dyDescent="0.3">
      <c r="A10" t="s">
        <v>167</v>
      </c>
      <c r="B10" s="63">
        <v>585329.46400000004</v>
      </c>
      <c r="C10" s="63">
        <v>6916742.5669999998</v>
      </c>
      <c r="D10" s="73">
        <v>50.8</v>
      </c>
      <c r="E10" s="73">
        <v>152.4</v>
      </c>
      <c r="F10" s="71">
        <v>1312.829</v>
      </c>
      <c r="G10" s="63">
        <v>6.0960000000000001</v>
      </c>
      <c r="H10" s="63">
        <v>3.048</v>
      </c>
      <c r="I10" s="63">
        <v>6.0960000000000001</v>
      </c>
      <c r="J10" s="65" t="str">
        <f t="shared" si="2"/>
        <v>3.05 to 6.1</v>
      </c>
      <c r="K10" s="65">
        <f t="shared" si="3"/>
        <v>1312.701</v>
      </c>
      <c r="L10" s="84">
        <f t="shared" si="0"/>
        <v>1309.653</v>
      </c>
      <c r="M10" s="84">
        <f t="shared" si="4"/>
        <v>1306.605</v>
      </c>
      <c r="N10" s="84">
        <f>K10-L10</f>
        <v>3.0480000000000018</v>
      </c>
      <c r="O10" s="63">
        <v>-0.12799999999992906</v>
      </c>
      <c r="P10" s="63">
        <v>1.65</v>
      </c>
      <c r="Q10" s="63" t="s">
        <v>270</v>
      </c>
      <c r="R10" t="s">
        <v>163</v>
      </c>
      <c r="S10" t="s">
        <v>164</v>
      </c>
    </row>
    <row r="11" spans="1:16353" x14ac:dyDescent="0.3">
      <c r="A11" t="s">
        <v>168</v>
      </c>
      <c r="B11">
        <v>584969.78508499998</v>
      </c>
      <c r="C11">
        <v>6916447.2595100002</v>
      </c>
      <c r="K11" s="65">
        <f>F11+O11-P11</f>
        <v>0</v>
      </c>
      <c r="L11" s="65">
        <f t="shared" si="0"/>
        <v>0</v>
      </c>
      <c r="M11" s="65">
        <f t="shared" si="4"/>
        <v>0</v>
      </c>
      <c r="N11" s="65"/>
      <c r="S11" t="s">
        <v>169</v>
      </c>
    </row>
    <row r="12" spans="1:16353" x14ac:dyDescent="0.3">
      <c r="A12" t="s">
        <v>170</v>
      </c>
      <c r="B12">
        <v>585109.82568999997</v>
      </c>
      <c r="C12">
        <v>6916092.5710399998</v>
      </c>
      <c r="K12" s="65">
        <f>F12+O12-P12</f>
        <v>0</v>
      </c>
      <c r="L12" s="65">
        <f t="shared" si="0"/>
        <v>0</v>
      </c>
      <c r="M12" s="65">
        <f t="shared" si="4"/>
        <v>0</v>
      </c>
      <c r="N12" s="65"/>
      <c r="S12" t="s">
        <v>171</v>
      </c>
    </row>
    <row r="13" spans="1:16353" x14ac:dyDescent="0.3">
      <c r="A13" t="s">
        <v>172</v>
      </c>
      <c r="B13">
        <v>585359.554321</v>
      </c>
      <c r="C13">
        <v>6916738.5716000004</v>
      </c>
      <c r="S13" t="s">
        <v>173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c1b0ee9c-2a74-4936-be73-b8d4717c1975">EVY2ES6MJQX3-14-6775</_dlc_DocId>
    <_dlc_DocIdUrl xmlns="c1b0ee9c-2a74-4936-be73-b8d4717c1975">
      <Url>https://deliver.ch2m.com/sites/TM2/_layouts/DocIdRedir.aspx?ID=EVY2ES6MJQX3-14-6775</Url>
      <Description>EVY2ES6MJQX3-14-6775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DE8362-9BFB-4A75-827C-7EE19A1BC6C4}">
  <ds:schemaRefs>
    <ds:schemaRef ds:uri="http://www.w3.org/XML/1998/namespace"/>
    <ds:schemaRef ds:uri="http://purl.org/dc/elements/1.1/"/>
    <ds:schemaRef ds:uri="http://schemas.microsoft.com/office/infopath/2007/PartnerControls"/>
    <ds:schemaRef ds:uri="c1b0ee9c-2a74-4936-be73-b8d4717c1975"/>
    <ds:schemaRef ds:uri="http://schemas.microsoft.com/sharepoint/v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BA3DED2-269C-4508-838F-F69B5CAAC8FB}"/>
</file>

<file path=customXml/itemProps3.xml><?xml version="1.0" encoding="utf-8"?>
<ds:datastoreItem xmlns:ds="http://schemas.openxmlformats.org/officeDocument/2006/customXml" ds:itemID="{62DE8362-9BFB-4A75-827C-7EE19A1BC6C4}"/>
</file>

<file path=customXml/itemProps4.xml><?xml version="1.0" encoding="utf-8"?>
<ds:datastoreItem xmlns:ds="http://schemas.openxmlformats.org/officeDocument/2006/customXml" ds:itemID="{24021D2F-0848-4825-9350-D98F620E80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17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38" baseType="lpstr">
      <vt:lpstr>Table1_DTWGWE</vt:lpstr>
      <vt:lpstr>2_WellDischarge</vt:lpstr>
      <vt:lpstr>3_ATsummary</vt:lpstr>
      <vt:lpstr>4_FCD-1</vt:lpstr>
      <vt:lpstr>5_FCD-2</vt:lpstr>
      <vt:lpstr>6_FCD-2A</vt:lpstr>
      <vt:lpstr>7_Seeps</vt:lpstr>
      <vt:lpstr>8_OtherQ</vt:lpstr>
      <vt:lpstr>Table5-2</vt:lpstr>
      <vt:lpstr>9_FieldParam</vt:lpstr>
      <vt:lpstr>10_Chemistry</vt:lpstr>
      <vt:lpstr>11_Model</vt:lpstr>
      <vt:lpstr>12_dischargeSummary</vt:lpstr>
      <vt:lpstr>List</vt:lpstr>
      <vt:lpstr>Misc</vt:lpstr>
      <vt:lpstr>RawWQdata</vt:lpstr>
      <vt:lpstr>construct</vt:lpstr>
      <vt:lpstr>DischargeChart</vt:lpstr>
      <vt:lpstr>'10_Chemistry'!Print_Area</vt:lpstr>
      <vt:lpstr>'12_dischargeSummary'!Print_Area</vt:lpstr>
      <vt:lpstr>'2_WellDischarge'!Print_Area</vt:lpstr>
      <vt:lpstr>'3_ATsummary'!Print_Area</vt:lpstr>
      <vt:lpstr>'4_FCD-1'!Print_Area</vt:lpstr>
      <vt:lpstr>'5_FCD-2'!Print_Area</vt:lpstr>
      <vt:lpstr>'6_FCD-2A'!Print_Area</vt:lpstr>
      <vt:lpstr>'7_Seeps'!Print_Area</vt:lpstr>
      <vt:lpstr>'8_OtherQ'!Print_Area</vt:lpstr>
      <vt:lpstr>Table1_DTWGWE!Print_Area</vt:lpstr>
      <vt:lpstr>'10_Chemistry'!Print_Titles</vt:lpstr>
      <vt:lpstr>'11_Model'!Print_Titles</vt:lpstr>
      <vt:lpstr>'2_WellDischarge'!Print_Titles</vt:lpstr>
      <vt:lpstr>'4_FCD-1'!Print_Titles</vt:lpstr>
      <vt:lpstr>'5_FCD-2'!Print_Titles</vt:lpstr>
      <vt:lpstr>'6_FCD-2A'!Print_Titles</vt:lpstr>
      <vt:lpstr>'7_Seeps'!Print_Titles</vt:lpstr>
      <vt:lpstr>'8_OtherQ'!Print_Titles</vt:lpstr>
      <vt:lpstr>Table1_DTWGWE!Print_Titles</vt:lpstr>
      <vt:lpstr>'Table5-2'!Print_Titles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Blair, Caitlin/WYT</dc:creator>
  <cp:lastModifiedBy>Isaac, Marika/WYT</cp:lastModifiedBy>
  <cp:lastPrinted>2016-08-19T17:23:33Z</cp:lastPrinted>
  <dcterms:created xsi:type="dcterms:W3CDTF">2016-04-04T21:27:49Z</dcterms:created>
  <dcterms:modified xsi:type="dcterms:W3CDTF">2016-08-24T20:51:49Z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a0f5a2fd-0006-4de0-b0f9-31690dc09d5d</vt:lpwstr>
  </property>
</Properties>
</file>